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140" windowHeight="6780" tabRatio="883"/>
  </bookViews>
  <sheets>
    <sheet name="How to use me" sheetId="51" r:id="rId1"/>
    <sheet name="IF = LO - RF" sheetId="48" r:id="rId2"/>
    <sheet name="IF =  RF - LO" sheetId="49" r:id="rId3"/>
    <sheet name="IF =  RF + LO" sheetId="50" r:id="rId4"/>
  </sheets>
  <definedNames>
    <definedName name="_mkr1" localSheetId="2">#REF!</definedName>
    <definedName name="_mkr1" localSheetId="3">#REF!</definedName>
    <definedName name="_mkr1">#REF!</definedName>
    <definedName name="_mkr2" localSheetId="2">#REF!</definedName>
    <definedName name="_mkr2" localSheetId="3">#REF!</definedName>
    <definedName name="_mkr2">#REF!</definedName>
    <definedName name="G" localSheetId="2">'IF =  RF - LO'!$H$10</definedName>
    <definedName name="G" localSheetId="3">'IF =  RF + LO'!$H$10</definedName>
    <definedName name="G" localSheetId="1">'IF = LO - RF'!$H$10</definedName>
    <definedName name="IF" localSheetId="2">'IF =  RF - LO'!$C$10</definedName>
    <definedName name="IF" localSheetId="3">'IF =  RF + LO'!$C$10</definedName>
    <definedName name="IF" localSheetId="1">'IF = LO - RF'!$C$10</definedName>
    <definedName name="IF">#REF!</definedName>
    <definedName name="IF_BW" localSheetId="2">'IF =  RF - LO'!$H$9</definedName>
    <definedName name="IF_BW" localSheetId="3">'IF =  RF + LO'!$H$9</definedName>
    <definedName name="IF_BW" localSheetId="1">'IF = LO - RF'!$H$9</definedName>
    <definedName name="IF_BW">#REF!</definedName>
    <definedName name="RF_BW" localSheetId="2">'IF =  RF - LO'!$M$10</definedName>
    <definedName name="RF_BW" localSheetId="3">'IF =  RF + LO'!$M$10</definedName>
    <definedName name="RF_BW" localSheetId="1">'IF = LO - RF'!$M$10</definedName>
    <definedName name="RFmax" localSheetId="0">'How to use me'!$D$52</definedName>
    <definedName name="RFmax" localSheetId="2">'IF =  RF - LO'!$D$39</definedName>
    <definedName name="RFmax" localSheetId="3">'IF =  RF + LO'!$D$39</definedName>
    <definedName name="RFmax" localSheetId="1">'IF = LO - RF'!$D$39</definedName>
    <definedName name="RFmin" localSheetId="0">'How to use me'!$D$51</definedName>
    <definedName name="RFmin" localSheetId="2">'IF =  RF - LO'!$D$38</definedName>
    <definedName name="RFmin" localSheetId="3">'IF =  RF + LO'!$D$38</definedName>
    <definedName name="RFmin" localSheetId="1">'IF = LO - RF'!$D$38</definedName>
    <definedName name="x" localSheetId="2">#REF!</definedName>
    <definedName name="x" localSheetId="3">#REF!</definedName>
    <definedName name="x">#REF!</definedName>
    <definedName name="xmax" localSheetId="0">'How to use me'!#REF!</definedName>
    <definedName name="xmax" localSheetId="2">'IF =  RF - LO'!$A$5</definedName>
    <definedName name="xmax" localSheetId="3">'IF =  RF + LO'!$A$5</definedName>
    <definedName name="xmax" localSheetId="1">'IF = LO - RF'!$A$5</definedName>
    <definedName name="xmin" localSheetId="0">'How to use me'!#REF!</definedName>
    <definedName name="xmin" localSheetId="2">'IF =  RF - LO'!$A$4</definedName>
    <definedName name="xmin" localSheetId="3">'IF =  RF + LO'!$A$4</definedName>
    <definedName name="xmin" localSheetId="1">'IF = LO - RF'!$A$4</definedName>
  </definedNames>
  <calcPr calcId="152511"/>
</workbook>
</file>

<file path=xl/calcChain.xml><?xml version="1.0" encoding="utf-8"?>
<calcChain xmlns="http://schemas.openxmlformats.org/spreadsheetml/2006/main">
  <c r="AM4" i="50" l="1"/>
  <c r="AN4" i="50"/>
  <c r="AO4" i="50"/>
  <c r="AM5" i="50"/>
  <c r="AN5" i="50"/>
  <c r="AO5" i="50"/>
  <c r="AM6" i="50"/>
  <c r="AN6" i="50"/>
  <c r="AO6" i="50"/>
  <c r="AM7" i="50"/>
  <c r="AN7" i="50"/>
  <c r="AO7" i="50"/>
  <c r="AL7" i="50"/>
  <c r="AL6" i="50"/>
  <c r="AL5" i="50"/>
  <c r="AL4" i="50"/>
  <c r="F4" i="50"/>
  <c r="J4" i="50"/>
  <c r="N4" i="50"/>
  <c r="R4" i="50"/>
  <c r="V4" i="50"/>
  <c r="Z4" i="50"/>
  <c r="AD4" i="50"/>
  <c r="AH4" i="50"/>
  <c r="AJ4" i="50"/>
  <c r="F5" i="50"/>
  <c r="J5" i="50"/>
  <c r="N5" i="50"/>
  <c r="R5" i="50"/>
  <c r="V5" i="50"/>
  <c r="Z5" i="50"/>
  <c r="AD5" i="50"/>
  <c r="AH5" i="50"/>
  <c r="F6" i="50"/>
  <c r="J6" i="50"/>
  <c r="N6" i="50"/>
  <c r="R6" i="50"/>
  <c r="V6" i="50"/>
  <c r="Z6" i="50"/>
  <c r="AD6" i="50"/>
  <c r="AH6" i="50"/>
  <c r="F7" i="50"/>
  <c r="G7" i="50"/>
  <c r="J7" i="50"/>
  <c r="N7" i="50"/>
  <c r="O7" i="50"/>
  <c r="R7" i="50"/>
  <c r="S7" i="50"/>
  <c r="V7" i="50"/>
  <c r="W7" i="50"/>
  <c r="Z7" i="50"/>
  <c r="AA7" i="50"/>
  <c r="AD7" i="50"/>
  <c r="AH7" i="50"/>
  <c r="AI7" i="50"/>
  <c r="B7" i="50"/>
  <c r="B6" i="50"/>
  <c r="B5" i="50"/>
  <c r="B4" i="50"/>
  <c r="M39" i="50"/>
  <c r="M38" i="50"/>
  <c r="I39" i="50"/>
  <c r="I38" i="50"/>
  <c r="M10" i="50"/>
  <c r="AX4" i="50" s="1"/>
  <c r="A7" i="50"/>
  <c r="A6" i="50"/>
  <c r="BC5" i="50"/>
  <c r="BA5" i="50"/>
  <c r="AZ5" i="50"/>
  <c r="AX5" i="50"/>
  <c r="AW5" i="50"/>
  <c r="AT5" i="50"/>
  <c r="AR5" i="50"/>
  <c r="AQ5" i="50"/>
  <c r="BC4" i="50"/>
  <c r="AZ4" i="50"/>
  <c r="AW4" i="50"/>
  <c r="AU4" i="50"/>
  <c r="AT4" i="50"/>
  <c r="AQ4" i="50"/>
  <c r="AK2" i="50"/>
  <c r="AK6" i="50" s="1"/>
  <c r="AJ2" i="50"/>
  <c r="AJ5" i="50" s="1"/>
  <c r="AI2" i="50"/>
  <c r="AI4" i="50" s="1"/>
  <c r="AE2" i="50"/>
  <c r="AE4" i="50" s="1"/>
  <c r="AA2" i="50"/>
  <c r="AA4" i="50" s="1"/>
  <c r="W2" i="50"/>
  <c r="W4" i="50" s="1"/>
  <c r="T2" i="50"/>
  <c r="T5" i="50" s="1"/>
  <c r="S2" i="50"/>
  <c r="S4" i="50" s="1"/>
  <c r="O2" i="50"/>
  <c r="O4" i="50" s="1"/>
  <c r="K2" i="50"/>
  <c r="K4" i="50" s="1"/>
  <c r="G2" i="50"/>
  <c r="G4" i="50" s="1"/>
  <c r="C2" i="50"/>
  <c r="C4" i="50" s="1"/>
  <c r="M39" i="49"/>
  <c r="M38" i="49"/>
  <c r="AM4" i="49"/>
  <c r="AN4" i="49"/>
  <c r="AO4" i="49"/>
  <c r="AM5" i="49"/>
  <c r="AN5" i="49"/>
  <c r="AO5" i="49"/>
  <c r="AM6" i="49"/>
  <c r="AN6" i="49"/>
  <c r="AO6" i="49"/>
  <c r="AM7" i="49"/>
  <c r="AN7" i="49"/>
  <c r="AO7" i="49"/>
  <c r="AL7" i="49"/>
  <c r="AL6" i="49"/>
  <c r="AL5" i="49"/>
  <c r="AL4" i="49"/>
  <c r="F4" i="49"/>
  <c r="J4" i="49"/>
  <c r="N4" i="49"/>
  <c r="P4" i="49"/>
  <c r="R4" i="49"/>
  <c r="V4" i="49"/>
  <c r="X4" i="49"/>
  <c r="Z4" i="49"/>
  <c r="AD4" i="49"/>
  <c r="AH4" i="49"/>
  <c r="F5" i="49"/>
  <c r="J5" i="49"/>
  <c r="N5" i="49"/>
  <c r="R5" i="49"/>
  <c r="V5" i="49"/>
  <c r="Z5" i="49"/>
  <c r="AD5" i="49"/>
  <c r="AH5" i="49"/>
  <c r="F6" i="49"/>
  <c r="J6" i="49"/>
  <c r="N6" i="49"/>
  <c r="R6" i="49"/>
  <c r="V6" i="49"/>
  <c r="Z6" i="49"/>
  <c r="AD6" i="49"/>
  <c r="AH6" i="49"/>
  <c r="C7" i="49"/>
  <c r="F7" i="49"/>
  <c r="G7" i="49"/>
  <c r="J7" i="49"/>
  <c r="N7" i="49"/>
  <c r="O7" i="49"/>
  <c r="R7" i="49"/>
  <c r="V7" i="49"/>
  <c r="W7" i="49"/>
  <c r="Z7" i="49"/>
  <c r="AA7" i="49"/>
  <c r="AD7" i="49"/>
  <c r="AH7" i="49"/>
  <c r="AI7" i="49"/>
  <c r="B7" i="49"/>
  <c r="B6" i="49"/>
  <c r="B5" i="49"/>
  <c r="B4" i="49"/>
  <c r="I39" i="49"/>
  <c r="I38" i="49"/>
  <c r="M10" i="49"/>
  <c r="BA4" i="49" s="1"/>
  <c r="A7" i="49"/>
  <c r="A6" i="49"/>
  <c r="BC5" i="49"/>
  <c r="BA5" i="49"/>
  <c r="AZ5" i="49"/>
  <c r="AX5" i="49"/>
  <c r="AW5" i="49"/>
  <c r="AT5" i="49"/>
  <c r="AR5" i="49"/>
  <c r="AQ5" i="49"/>
  <c r="BC4" i="49"/>
  <c r="AZ4" i="49"/>
  <c r="AW4" i="49"/>
  <c r="AU4" i="49"/>
  <c r="AT4" i="49"/>
  <c r="AQ4" i="49"/>
  <c r="AI2" i="49"/>
  <c r="AI4" i="49" s="1"/>
  <c r="AE2" i="49"/>
  <c r="AF2" i="49" s="1"/>
  <c r="AF5" i="49" s="1"/>
  <c r="AA2" i="49"/>
  <c r="AA4" i="49" s="1"/>
  <c r="Y2" i="49"/>
  <c r="Y6" i="49" s="1"/>
  <c r="X2" i="49"/>
  <c r="X5" i="49" s="1"/>
  <c r="W2" i="49"/>
  <c r="W4" i="49" s="1"/>
  <c r="S2" i="49"/>
  <c r="S4" i="49" s="1"/>
  <c r="O2" i="49"/>
  <c r="P2" i="49" s="1"/>
  <c r="P5" i="49" s="1"/>
  <c r="K2" i="49"/>
  <c r="K4" i="49" s="1"/>
  <c r="G2" i="49"/>
  <c r="G4" i="49" s="1"/>
  <c r="D2" i="49"/>
  <c r="D5" i="49" s="1"/>
  <c r="C2" i="49"/>
  <c r="C4" i="49" s="1"/>
  <c r="BC5" i="48"/>
  <c r="BC4" i="48"/>
  <c r="C2" i="48"/>
  <c r="D2" i="48" s="1"/>
  <c r="G2" i="48"/>
  <c r="G5" i="48" s="1"/>
  <c r="K2" i="48"/>
  <c r="K5" i="48" s="1"/>
  <c r="O2" i="48"/>
  <c r="P2" i="48"/>
  <c r="P4" i="48" s="1"/>
  <c r="S2" i="48"/>
  <c r="T2" i="48" s="1"/>
  <c r="W2" i="48"/>
  <c r="W5" i="48" s="1"/>
  <c r="AA2" i="48"/>
  <c r="AA5" i="48" s="1"/>
  <c r="AE2" i="48"/>
  <c r="AF2" i="48" s="1"/>
  <c r="AI2" i="48"/>
  <c r="AJ2" i="48" s="1"/>
  <c r="B4" i="48"/>
  <c r="C4" i="48"/>
  <c r="F4" i="48"/>
  <c r="J4" i="48"/>
  <c r="N4" i="48"/>
  <c r="O4" i="48"/>
  <c r="R4" i="48"/>
  <c r="S4" i="48"/>
  <c r="V4" i="48"/>
  <c r="Z4" i="48"/>
  <c r="AD4" i="48"/>
  <c r="AH4" i="48"/>
  <c r="AI4" i="48"/>
  <c r="AL4" i="48"/>
  <c r="AM4" i="48"/>
  <c r="AN4" i="48"/>
  <c r="AO4" i="48"/>
  <c r="AQ4" i="48"/>
  <c r="AT4" i="48"/>
  <c r="AU4" i="48"/>
  <c r="AW4" i="48"/>
  <c r="AZ4" i="48"/>
  <c r="B5" i="48"/>
  <c r="F5" i="48"/>
  <c r="J5" i="48"/>
  <c r="N5" i="48"/>
  <c r="O5" i="48"/>
  <c r="P5" i="48"/>
  <c r="R5" i="48"/>
  <c r="S5" i="48"/>
  <c r="V5" i="48"/>
  <c r="Z5" i="48"/>
  <c r="AD5" i="48"/>
  <c r="AH5" i="48"/>
  <c r="AI5" i="48"/>
  <c r="AL5" i="48"/>
  <c r="AM5" i="48"/>
  <c r="AN5" i="48"/>
  <c r="AO5" i="48"/>
  <c r="AQ5" i="48"/>
  <c r="AR5" i="48"/>
  <c r="AT5" i="48"/>
  <c r="AW5" i="48"/>
  <c r="AX5" i="48"/>
  <c r="AZ5" i="48"/>
  <c r="BA5" i="48"/>
  <c r="A6" i="48"/>
  <c r="B6" i="48"/>
  <c r="F6" i="48"/>
  <c r="J6" i="48"/>
  <c r="N6" i="48"/>
  <c r="O6" i="48"/>
  <c r="P6" i="48"/>
  <c r="R6" i="48"/>
  <c r="S6" i="48"/>
  <c r="V6" i="48"/>
  <c r="Z6" i="48"/>
  <c r="AD6" i="48"/>
  <c r="AH6" i="48"/>
  <c r="AI6" i="48"/>
  <c r="AL6" i="48"/>
  <c r="AM6" i="48"/>
  <c r="AN6" i="48"/>
  <c r="AO6" i="48"/>
  <c r="A7" i="48"/>
  <c r="B7" i="48"/>
  <c r="C7" i="48"/>
  <c r="F7" i="48"/>
  <c r="G7" i="48"/>
  <c r="J7" i="48"/>
  <c r="K7" i="48"/>
  <c r="N7" i="48"/>
  <c r="O7" i="48"/>
  <c r="R7" i="48"/>
  <c r="S7" i="48"/>
  <c r="V7" i="48"/>
  <c r="W7" i="48"/>
  <c r="Z7" i="48"/>
  <c r="AA7" i="48"/>
  <c r="AD7" i="48"/>
  <c r="AH7" i="48"/>
  <c r="AI7" i="48"/>
  <c r="AL7" i="48"/>
  <c r="AM7" i="48"/>
  <c r="AN7" i="48"/>
  <c r="AO7" i="48"/>
  <c r="M10" i="48"/>
  <c r="BA4" i="48" s="1"/>
  <c r="I38" i="48"/>
  <c r="M38" i="48"/>
  <c r="I39" i="48"/>
  <c r="M39" i="48"/>
  <c r="AR4" i="50" l="1"/>
  <c r="AU5" i="50"/>
  <c r="BA4" i="50"/>
  <c r="AF4" i="48"/>
  <c r="AF5" i="48"/>
  <c r="AF6" i="48"/>
  <c r="D4" i="49"/>
  <c r="AE7" i="50"/>
  <c r="AE7" i="48"/>
  <c r="AE6" i="48"/>
  <c r="AE5" i="48"/>
  <c r="AE4" i="48"/>
  <c r="H2" i="49"/>
  <c r="AB2" i="49"/>
  <c r="AJ2" i="49"/>
  <c r="Y7" i="49"/>
  <c r="AF6" i="49"/>
  <c r="X6" i="49"/>
  <c r="P6" i="49"/>
  <c r="D6" i="49"/>
  <c r="AI5" i="49"/>
  <c r="AE5" i="49"/>
  <c r="AA5" i="49"/>
  <c r="W5" i="49"/>
  <c r="S5" i="49"/>
  <c r="O5" i="49"/>
  <c r="K5" i="49"/>
  <c r="G5" i="49"/>
  <c r="C5" i="49"/>
  <c r="P2" i="50"/>
  <c r="AK7" i="50"/>
  <c r="AJ6" i="50"/>
  <c r="T6" i="50"/>
  <c r="AI5" i="50"/>
  <c r="AE5" i="50"/>
  <c r="AA5" i="50"/>
  <c r="W5" i="50"/>
  <c r="S5" i="50"/>
  <c r="O5" i="50"/>
  <c r="K5" i="50"/>
  <c r="G5" i="50"/>
  <c r="C5" i="50"/>
  <c r="AE7" i="49"/>
  <c r="Y5" i="49"/>
  <c r="AF7" i="49"/>
  <c r="X7" i="49"/>
  <c r="P7" i="49"/>
  <c r="D7" i="49"/>
  <c r="AI6" i="49"/>
  <c r="AE6" i="49"/>
  <c r="AA6" i="49"/>
  <c r="W6" i="49"/>
  <c r="S6" i="49"/>
  <c r="O6" i="49"/>
  <c r="K6" i="49"/>
  <c r="G6" i="49"/>
  <c r="C6" i="49"/>
  <c r="Y4" i="49"/>
  <c r="AJ7" i="50"/>
  <c r="T7" i="50"/>
  <c r="AI6" i="50"/>
  <c r="AE6" i="50"/>
  <c r="AA6" i="50"/>
  <c r="W6" i="50"/>
  <c r="S6" i="50"/>
  <c r="O6" i="50"/>
  <c r="K6" i="50"/>
  <c r="G6" i="50"/>
  <c r="C6" i="50"/>
  <c r="AK4" i="50"/>
  <c r="S7" i="49"/>
  <c r="K7" i="50"/>
  <c r="C7" i="50"/>
  <c r="AK5" i="50"/>
  <c r="T4" i="50"/>
  <c r="K7" i="49"/>
  <c r="AF4" i="49"/>
  <c r="C6" i="48"/>
  <c r="C5" i="48"/>
  <c r="L2" i="49"/>
  <c r="T2" i="49"/>
  <c r="AE4" i="49"/>
  <c r="O4" i="49"/>
  <c r="D2" i="50"/>
  <c r="U2" i="50"/>
  <c r="AF2" i="50"/>
  <c r="AU5" i="49"/>
  <c r="AR4" i="49"/>
  <c r="AX4" i="49"/>
  <c r="L2" i="50"/>
  <c r="Q2" i="50"/>
  <c r="AB2" i="50"/>
  <c r="H2" i="50"/>
  <c r="X2" i="50"/>
  <c r="AG2" i="49"/>
  <c r="Q2" i="49"/>
  <c r="E2" i="49"/>
  <c r="U2" i="49"/>
  <c r="AK2" i="49"/>
  <c r="D4" i="48"/>
  <c r="D7" i="48"/>
  <c r="E2" i="48"/>
  <c r="D6" i="48"/>
  <c r="D5" i="48"/>
  <c r="AJ4" i="48"/>
  <c r="AJ7" i="48"/>
  <c r="AJ5" i="48"/>
  <c r="AJ6" i="48"/>
  <c r="AK2" i="48"/>
  <c r="T4" i="48"/>
  <c r="U2" i="48"/>
  <c r="T6" i="48"/>
  <c r="T7" i="48"/>
  <c r="T5" i="48"/>
  <c r="AF7" i="48"/>
  <c r="AG2" i="48"/>
  <c r="AA4" i="48"/>
  <c r="W4" i="48"/>
  <c r="K4" i="48"/>
  <c r="G4" i="48"/>
  <c r="X2" i="48"/>
  <c r="H2" i="48"/>
  <c r="P7" i="48"/>
  <c r="AB2" i="48"/>
  <c r="Q2" i="48"/>
  <c r="L2" i="48"/>
  <c r="AA6" i="48"/>
  <c r="W6" i="48"/>
  <c r="K6" i="48"/>
  <c r="G6" i="48"/>
  <c r="AX4" i="48"/>
  <c r="AR4" i="48"/>
  <c r="AU5" i="48"/>
  <c r="U6" i="49" l="1"/>
  <c r="U5" i="49"/>
  <c r="U4" i="49"/>
  <c r="U7" i="49"/>
  <c r="X5" i="50"/>
  <c r="X4" i="50"/>
  <c r="X7" i="50"/>
  <c r="X6" i="50"/>
  <c r="Q6" i="50"/>
  <c r="Q5" i="50"/>
  <c r="Q4" i="50"/>
  <c r="Q7" i="50"/>
  <c r="AJ5" i="49"/>
  <c r="AJ7" i="49"/>
  <c r="AJ4" i="49"/>
  <c r="AJ6" i="49"/>
  <c r="E6" i="49"/>
  <c r="E5" i="49"/>
  <c r="E4" i="49"/>
  <c r="E7" i="49"/>
  <c r="H5" i="50"/>
  <c r="H4" i="50"/>
  <c r="H7" i="50"/>
  <c r="H6" i="50"/>
  <c r="L5" i="50"/>
  <c r="L4" i="50"/>
  <c r="L7" i="50"/>
  <c r="L6" i="50"/>
  <c r="AF5" i="50"/>
  <c r="AF4" i="50"/>
  <c r="AF7" i="50"/>
  <c r="AF6" i="50"/>
  <c r="P5" i="50"/>
  <c r="P4" i="50"/>
  <c r="P7" i="50"/>
  <c r="P6" i="50"/>
  <c r="AB5" i="49"/>
  <c r="AB7" i="49"/>
  <c r="AC2" i="49"/>
  <c r="AB4" i="49"/>
  <c r="AB6" i="49"/>
  <c r="Q6" i="49"/>
  <c r="Q4" i="49"/>
  <c r="Q5" i="49"/>
  <c r="Q7" i="49"/>
  <c r="AG2" i="50"/>
  <c r="U6" i="50"/>
  <c r="U5" i="50"/>
  <c r="U4" i="50"/>
  <c r="U7" i="50"/>
  <c r="T5" i="49"/>
  <c r="T7" i="49"/>
  <c r="T4" i="49"/>
  <c r="T6" i="49"/>
  <c r="H5" i="49"/>
  <c r="H7" i="49"/>
  <c r="I2" i="49"/>
  <c r="H6" i="49"/>
  <c r="H4" i="49"/>
  <c r="AK6" i="49"/>
  <c r="AK5" i="49"/>
  <c r="AK4" i="49"/>
  <c r="AK7" i="49"/>
  <c r="AG6" i="49"/>
  <c r="AG4" i="49"/>
  <c r="AG5" i="49"/>
  <c r="AG7" i="49"/>
  <c r="AB5" i="50"/>
  <c r="AB4" i="50"/>
  <c r="AB7" i="50"/>
  <c r="AB6" i="50"/>
  <c r="D5" i="50"/>
  <c r="D4" i="50"/>
  <c r="D7" i="50"/>
  <c r="D6" i="50"/>
  <c r="E2" i="50"/>
  <c r="L5" i="49"/>
  <c r="L4" i="49"/>
  <c r="L7" i="49"/>
  <c r="L6" i="49"/>
  <c r="M2" i="49"/>
  <c r="Y2" i="50"/>
  <c r="AC2" i="50"/>
  <c r="I2" i="50"/>
  <c r="M2" i="50"/>
  <c r="AB4" i="48"/>
  <c r="AB7" i="48"/>
  <c r="AB6" i="48"/>
  <c r="AC2" i="48"/>
  <c r="AB5" i="48"/>
  <c r="E5" i="48"/>
  <c r="E4" i="48"/>
  <c r="E7" i="48"/>
  <c r="E6" i="48"/>
  <c r="AG4" i="48"/>
  <c r="AG7" i="48"/>
  <c r="AG5" i="48"/>
  <c r="AG6" i="48"/>
  <c r="Q6" i="48"/>
  <c r="Q4" i="48"/>
  <c r="Q7" i="48"/>
  <c r="Q5" i="48"/>
  <c r="Y2" i="48"/>
  <c r="X4" i="48"/>
  <c r="X7" i="48"/>
  <c r="X6" i="48"/>
  <c r="X5" i="48"/>
  <c r="AK7" i="48"/>
  <c r="AK5" i="48"/>
  <c r="AK6" i="48"/>
  <c r="AK4" i="48"/>
  <c r="L4" i="48"/>
  <c r="L6" i="48"/>
  <c r="M2" i="48"/>
  <c r="L7" i="48"/>
  <c r="L5" i="48"/>
  <c r="I2" i="48"/>
  <c r="H4" i="48"/>
  <c r="H7" i="48"/>
  <c r="H5" i="48"/>
  <c r="H6" i="48"/>
  <c r="U5" i="48"/>
  <c r="U7" i="48"/>
  <c r="U6" i="48"/>
  <c r="U4" i="48"/>
  <c r="I6" i="50" l="1"/>
  <c r="I5" i="50"/>
  <c r="I4" i="50"/>
  <c r="I7" i="50"/>
  <c r="E6" i="50"/>
  <c r="E5" i="50"/>
  <c r="E4" i="50"/>
  <c r="E7" i="50"/>
  <c r="AC6" i="50"/>
  <c r="AC5" i="50"/>
  <c r="AC4" i="50"/>
  <c r="AC7" i="50"/>
  <c r="AC6" i="49"/>
  <c r="AC4" i="49"/>
  <c r="AC7" i="49"/>
  <c r="AC5" i="49"/>
  <c r="Y6" i="50"/>
  <c r="Y5" i="50"/>
  <c r="Y4" i="50"/>
  <c r="Y7" i="50"/>
  <c r="AG6" i="50"/>
  <c r="AG5" i="50"/>
  <c r="AG4" i="50"/>
  <c r="AG7" i="50"/>
  <c r="M6" i="50"/>
  <c r="M5" i="50"/>
  <c r="M4" i="50"/>
  <c r="M7" i="50"/>
  <c r="M6" i="49"/>
  <c r="M5" i="49"/>
  <c r="M4" i="49"/>
  <c r="M7" i="49"/>
  <c r="I6" i="49"/>
  <c r="I4" i="49"/>
  <c r="I5" i="49"/>
  <c r="I7" i="49"/>
  <c r="M7" i="48"/>
  <c r="M5" i="48"/>
  <c r="M6" i="48"/>
  <c r="M4" i="48"/>
  <c r="Y6" i="48"/>
  <c r="Y4" i="48"/>
  <c r="Y7" i="48"/>
  <c r="Y5" i="48"/>
  <c r="I6" i="48"/>
  <c r="I7" i="48"/>
  <c r="I5" i="48"/>
  <c r="I4" i="48"/>
  <c r="AC7" i="48"/>
  <c r="AC5" i="48"/>
  <c r="AC6" i="48"/>
  <c r="AC4" i="48"/>
</calcChain>
</file>

<file path=xl/sharedStrings.xml><?xml version="1.0" encoding="utf-8"?>
<sst xmlns="http://schemas.openxmlformats.org/spreadsheetml/2006/main" count="276" uniqueCount="76">
  <si>
    <t>MHz</t>
  </si>
  <si>
    <t>IF_BW =</t>
  </si>
  <si>
    <t>RF</t>
  </si>
  <si>
    <t>LO</t>
  </si>
  <si>
    <t>RF_BW =</t>
  </si>
  <si>
    <t>n</t>
  </si>
  <si>
    <t>m</t>
  </si>
  <si>
    <t>G =</t>
  </si>
  <si>
    <t>x</t>
  </si>
  <si>
    <t>IF =</t>
  </si>
  <si>
    <t>RFmax =</t>
  </si>
  <si>
    <t>RFmin =</t>
  </si>
  <si>
    <t>top</t>
  </si>
  <si>
    <t>bot</t>
  </si>
  <si>
    <t>min</t>
  </si>
  <si>
    <t>max</t>
  </si>
  <si>
    <t>MARKERS</t>
  </si>
  <si>
    <t>LOmin =</t>
  </si>
  <si>
    <t>LOmax =</t>
  </si>
  <si>
    <t>IFmin =</t>
  </si>
  <si>
    <t>IFmax =</t>
  </si>
  <si>
    <t>4LO+2RF</t>
  </si>
  <si>
    <t>4LO+RF</t>
  </si>
  <si>
    <t>4LO-RF</t>
  </si>
  <si>
    <t>4LO-2RF</t>
  </si>
  <si>
    <t>RF-4LO</t>
  </si>
  <si>
    <t>2RF-4LO</t>
  </si>
  <si>
    <t>3LO+2RF</t>
  </si>
  <si>
    <t>3LO+RF</t>
  </si>
  <si>
    <t>RF-3LO</t>
  </si>
  <si>
    <t>2RF-3LO</t>
  </si>
  <si>
    <t>LO+2RF</t>
  </si>
  <si>
    <t>2LO+RF</t>
  </si>
  <si>
    <t>2LO+2RF</t>
  </si>
  <si>
    <t>RF-2LO</t>
  </si>
  <si>
    <t>2RF-2LO</t>
  </si>
  <si>
    <t>LO+RF</t>
  </si>
  <si>
    <t>RF-LO</t>
  </si>
  <si>
    <t>2RF-LO</t>
  </si>
  <si>
    <t>2RF</t>
  </si>
  <si>
    <t>LO-2RF</t>
  </si>
  <si>
    <t>LO-RF</t>
  </si>
  <si>
    <t>2LO-2RF</t>
  </si>
  <si>
    <t>2LO-RF</t>
  </si>
  <si>
    <t>3LO-2RF</t>
  </si>
  <si>
    <t>3LO-RF</t>
  </si>
  <si>
    <t>2LO</t>
  </si>
  <si>
    <t>3LO</t>
  </si>
  <si>
    <t>4LO</t>
  </si>
  <si>
    <t>IF line</t>
  </si>
  <si>
    <t>limit</t>
  </si>
  <si>
    <t>x | [n, m]</t>
  </si>
  <si>
    <t xml:space="preserve"> </t>
  </si>
  <si>
    <t>IF &lt; RF</t>
  </si>
  <si>
    <t>IF &gt; RF</t>
  </si>
  <si>
    <t>LO-RF (IMF)</t>
  </si>
  <si>
    <t>RF-LO (IMF)</t>
  </si>
  <si>
    <t>1) Read the MWJ related article and understand the principle of the Distances Chart</t>
  </si>
  <si>
    <t>2) Fill in the yellow boxes with your input values</t>
  </si>
  <si>
    <t>Set the IF centre frequency</t>
  </si>
  <si>
    <t>Set the RF input filter band</t>
  </si>
  <si>
    <r>
      <t xml:space="preserve">Flores, J.L. </t>
    </r>
    <r>
      <rPr>
        <i/>
        <sz val="11"/>
        <color rgb="FF0070C0"/>
        <rFont val="Arial"/>
        <family val="2"/>
      </rPr>
      <t>The Distances Chart: A new approach to spurs calculation</t>
    </r>
    <r>
      <rPr>
        <sz val="11"/>
        <color rgb="FF0070C0"/>
        <rFont val="Arial"/>
        <family val="2"/>
      </rPr>
      <t xml:space="preserve">. Microwave Journal. February 2010. </t>
    </r>
  </si>
  <si>
    <t>Hope you find it useful!</t>
  </si>
  <si>
    <t xml:space="preserve">https://www.linkedin.com/in/microwaves/en </t>
  </si>
  <si>
    <t>J.L. Flores</t>
  </si>
  <si>
    <t>Set the IF filter bandwidth</t>
  </si>
  <si>
    <t>and its transition band (Guard band)</t>
  </si>
  <si>
    <t>(i.e. For a given RF band and IF filter specification, you may trade different center IF values. Or you can fix the IF and search for the most convenientn RF band, etc.)</t>
  </si>
  <si>
    <t>3) Read the Chart. The grey boxes are output values as well (just for info). Also for info, a vertical white line marks the IF centre frequency value in the horizontal frequency axis.</t>
  </si>
  <si>
    <t>This chart was developed for downconversion in wideband receivers. But nothing prevents its use for transnmitter applications.</t>
  </si>
  <si>
    <t>Just think that the terms "RF" and "IF" respectively refer to "input" and "output" bands in the frequency conversion process.</t>
  </si>
  <si>
    <t xml:space="preserve">Set the min/max </t>
  </si>
  <si>
    <t>horizontal axis values</t>
  </si>
  <si>
    <t>To use the Distances Chart follow these steps</t>
  </si>
  <si>
    <t>It is the user responsibility to assess the criticallity of a given product in the output band.</t>
  </si>
  <si>
    <t>Remeber that this Chart tells the position of the unwanted products at the output of the frequency converter. It does not say anything about their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</si>
</sst>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rgb="FF0070C0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u/>
      <sz val="10"/>
      <color theme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2" xfId="0" applyNumberForma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1" fontId="0" fillId="0" borderId="0" xfId="0" applyNumberFormat="1" applyFill="1" applyBorder="1"/>
    <xf numFmtId="0" fontId="0" fillId="0" borderId="0" xfId="0" applyAlignment="1"/>
    <xf numFmtId="0" fontId="3" fillId="0" borderId="0" xfId="0" applyFont="1"/>
    <xf numFmtId="0" fontId="0" fillId="0" borderId="0" xfId="0" quotePrefix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1"/>
    <xf numFmtId="0" fontId="9" fillId="0" borderId="0" xfId="0" applyFont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10" fillId="0" borderId="0" xfId="0" applyFont="1"/>
  </cellXfs>
  <cellStyles count="2">
    <cellStyle name="Hyperlink" xfId="1" builtinId="8"/>
    <cellStyle name="Normal" xfId="0" builtinId="0"/>
  </cellStyles>
  <dxfs count="8"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IF = LO - RF</a:t>
            </a:r>
          </a:p>
        </c:rich>
      </c:tx>
      <c:layout>
        <c:manualLayout>
          <c:xMode val="edge"/>
          <c:yMode val="edge"/>
          <c:x val="0.45391497519698076"/>
          <c:y val="3.0567685589519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11329969401397E-2"/>
          <c:y val="0.10262008733624459"/>
          <c:w val="0.89891024670071251"/>
          <c:h val="0.84061135371179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'IF = LO - RF'!$B$3</c:f>
              <c:strCache>
                <c:ptCount val="1"/>
                <c:pt idx="0">
                  <c:v>4LO+2RF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RF'!$B$4:$B$7</c:f>
              <c:numCache>
                <c:formatCode>General</c:formatCode>
                <c:ptCount val="4"/>
                <c:pt idx="0">
                  <c:v>-28225</c:v>
                </c:pt>
                <c:pt idx="1">
                  <c:v>-124225</c:v>
                </c:pt>
                <c:pt idx="2">
                  <c:v>-27775</c:v>
                </c:pt>
                <c:pt idx="3">
                  <c:v>-123775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'IF = LO - RF'!$C$3</c:f>
              <c:strCache>
                <c:ptCount val="1"/>
                <c:pt idx="0">
                  <c:v>4LO+RF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RF'!$C$4:$C$7</c:f>
              <c:numCache>
                <c:formatCode>General</c:formatCode>
                <c:ptCount val="4"/>
                <c:pt idx="0">
                  <c:v>-56450</c:v>
                </c:pt>
                <c:pt idx="1">
                  <c:v>-216450</c:v>
                </c:pt>
                <c:pt idx="2">
                  <c:v>-55550</c:v>
                </c:pt>
                <c:pt idx="3">
                  <c:v>-215550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'IF = LO - RF'!$D$3</c:f>
              <c:strCache>
                <c:ptCount val="1"/>
                <c:pt idx="0">
                  <c:v>RF-4LO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RF'!$D$4:$D$7</c:f>
              <c:numCache>
                <c:formatCode>General</c:formatCode>
                <c:ptCount val="4"/>
                <c:pt idx="0">
                  <c:v>56450</c:v>
                </c:pt>
                <c:pt idx="1">
                  <c:v>152450</c:v>
                </c:pt>
                <c:pt idx="2">
                  <c:v>55550</c:v>
                </c:pt>
                <c:pt idx="3">
                  <c:v>151550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'IF = LO - RF'!$E$3</c:f>
              <c:strCache>
                <c:ptCount val="1"/>
                <c:pt idx="0">
                  <c:v>2RF-4LO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RF'!$E$4:$E$7</c:f>
              <c:numCache>
                <c:formatCode>General</c:formatCode>
                <c:ptCount val="4"/>
                <c:pt idx="0">
                  <c:v>28225</c:v>
                </c:pt>
                <c:pt idx="1">
                  <c:v>60225</c:v>
                </c:pt>
                <c:pt idx="2">
                  <c:v>27775</c:v>
                </c:pt>
                <c:pt idx="3">
                  <c:v>59775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'IF = LO - RF'!$F$3</c:f>
              <c:strCache>
                <c:ptCount val="1"/>
                <c:pt idx="0">
                  <c:v>3LO+2RF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RF'!$F$4:$F$7</c:f>
              <c:numCache>
                <c:formatCode>General</c:formatCode>
                <c:ptCount val="4"/>
                <c:pt idx="0">
                  <c:v>-22625</c:v>
                </c:pt>
                <c:pt idx="1">
                  <c:v>-102625</c:v>
                </c:pt>
                <c:pt idx="2">
                  <c:v>-22175</c:v>
                </c:pt>
                <c:pt idx="3">
                  <c:v>-102175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'IF = LO - RF'!$G$3</c:f>
              <c:strCache>
                <c:ptCount val="1"/>
                <c:pt idx="0">
                  <c:v>3LO+RF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RF'!$G$4:$G$7</c:f>
              <c:numCache>
                <c:formatCode>General</c:formatCode>
                <c:ptCount val="4"/>
                <c:pt idx="0">
                  <c:v>-45250</c:v>
                </c:pt>
                <c:pt idx="1">
                  <c:v>-173250</c:v>
                </c:pt>
                <c:pt idx="2">
                  <c:v>-44350</c:v>
                </c:pt>
                <c:pt idx="3">
                  <c:v>-172350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'IF = LO - RF'!$H$3</c:f>
              <c:strCache>
                <c:ptCount val="1"/>
                <c:pt idx="0">
                  <c:v>RF-3LO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RF'!$H$4:$H$7</c:f>
              <c:numCache>
                <c:formatCode>General</c:formatCode>
                <c:ptCount val="4"/>
                <c:pt idx="0">
                  <c:v>45250</c:v>
                </c:pt>
                <c:pt idx="1">
                  <c:v>109250</c:v>
                </c:pt>
                <c:pt idx="2">
                  <c:v>44350</c:v>
                </c:pt>
                <c:pt idx="3">
                  <c:v>108350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'IF = LO - RF'!$I$3</c:f>
              <c:strCache>
                <c:ptCount val="1"/>
                <c:pt idx="0">
                  <c:v>2RF-3LO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RF'!$I$4:$I$7</c:f>
              <c:numCache>
                <c:formatCode>General</c:formatCode>
                <c:ptCount val="4"/>
                <c:pt idx="0">
                  <c:v>22625</c:v>
                </c:pt>
                <c:pt idx="1">
                  <c:v>38625</c:v>
                </c:pt>
                <c:pt idx="2">
                  <c:v>22175</c:v>
                </c:pt>
                <c:pt idx="3">
                  <c:v>38175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'IF = LO - RF'!$J$3</c:f>
              <c:strCache>
                <c:ptCount val="1"/>
                <c:pt idx="0">
                  <c:v>2LO+2RF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RF'!$J$4:$J$7</c:f>
              <c:numCache>
                <c:formatCode>General</c:formatCode>
                <c:ptCount val="4"/>
                <c:pt idx="0">
                  <c:v>-17025</c:v>
                </c:pt>
                <c:pt idx="1">
                  <c:v>-81025</c:v>
                </c:pt>
                <c:pt idx="2">
                  <c:v>-16575</c:v>
                </c:pt>
                <c:pt idx="3">
                  <c:v>-80575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'IF = LO - RF'!$K$3</c:f>
              <c:strCache>
                <c:ptCount val="1"/>
                <c:pt idx="0">
                  <c:v>2LO+RF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RF'!$K$4:$K$7</c:f>
              <c:numCache>
                <c:formatCode>General</c:formatCode>
                <c:ptCount val="4"/>
                <c:pt idx="0">
                  <c:v>-34050</c:v>
                </c:pt>
                <c:pt idx="1">
                  <c:v>-130050</c:v>
                </c:pt>
                <c:pt idx="2">
                  <c:v>-33150</c:v>
                </c:pt>
                <c:pt idx="3">
                  <c:v>-129150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'IF = LO - RF'!$L$3</c:f>
              <c:strCache>
                <c:ptCount val="1"/>
                <c:pt idx="0">
                  <c:v>RF-2LO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RF'!$L$4:$L$7</c:f>
              <c:numCache>
                <c:formatCode>General</c:formatCode>
                <c:ptCount val="4"/>
                <c:pt idx="0">
                  <c:v>34050</c:v>
                </c:pt>
                <c:pt idx="1">
                  <c:v>66050</c:v>
                </c:pt>
                <c:pt idx="2">
                  <c:v>33150</c:v>
                </c:pt>
                <c:pt idx="3">
                  <c:v>65150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'IF = LO - RF'!$M$3</c:f>
              <c:strCache>
                <c:ptCount val="1"/>
                <c:pt idx="0">
                  <c:v>2RF-2LO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RF'!$M$4:$M$7</c:f>
              <c:numCache>
                <c:formatCode>General</c:formatCode>
                <c:ptCount val="4"/>
                <c:pt idx="0">
                  <c:v>17025</c:v>
                </c:pt>
                <c:pt idx="1">
                  <c:v>17025</c:v>
                </c:pt>
                <c:pt idx="2">
                  <c:v>16575</c:v>
                </c:pt>
                <c:pt idx="3">
                  <c:v>16575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'IF = LO - RF'!$N$3</c:f>
              <c:strCache>
                <c:ptCount val="1"/>
                <c:pt idx="0">
                  <c:v>LO+2RF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RF'!$N$4:$N$7</c:f>
              <c:numCache>
                <c:formatCode>General</c:formatCode>
                <c:ptCount val="4"/>
                <c:pt idx="0">
                  <c:v>-11425</c:v>
                </c:pt>
                <c:pt idx="1">
                  <c:v>-59425</c:v>
                </c:pt>
                <c:pt idx="2">
                  <c:v>-10975</c:v>
                </c:pt>
                <c:pt idx="3">
                  <c:v>-58975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'IF = LO - RF'!$O$3</c:f>
              <c:strCache>
                <c:ptCount val="1"/>
                <c:pt idx="0">
                  <c:v>LO+RF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RF'!$O$4:$O$7</c:f>
              <c:numCache>
                <c:formatCode>General</c:formatCode>
                <c:ptCount val="4"/>
                <c:pt idx="0">
                  <c:v>-22850</c:v>
                </c:pt>
                <c:pt idx="1">
                  <c:v>-86850</c:v>
                </c:pt>
                <c:pt idx="2">
                  <c:v>-21950</c:v>
                </c:pt>
                <c:pt idx="3">
                  <c:v>-85950</c:v>
                </c:pt>
              </c:numCache>
            </c:numRef>
          </c:yVal>
          <c:smooth val="0"/>
        </c:ser>
        <c:ser>
          <c:idx val="16"/>
          <c:order val="14"/>
          <c:tx>
            <c:strRef>
              <c:f>'IF = LO - RF'!$Q$3</c:f>
              <c:strCache>
                <c:ptCount val="1"/>
                <c:pt idx="0">
                  <c:v>2RF-LO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RF'!$Q$4:$Q$7</c:f>
              <c:numCache>
                <c:formatCode>General</c:formatCode>
                <c:ptCount val="4"/>
                <c:pt idx="0">
                  <c:v>11425</c:v>
                </c:pt>
                <c:pt idx="1">
                  <c:v>-4575</c:v>
                </c:pt>
                <c:pt idx="2">
                  <c:v>10975</c:v>
                </c:pt>
                <c:pt idx="3">
                  <c:v>-5025</c:v>
                </c:pt>
              </c:numCache>
            </c:numRef>
          </c:yVal>
          <c:smooth val="0"/>
        </c:ser>
        <c:ser>
          <c:idx val="17"/>
          <c:order val="15"/>
          <c:tx>
            <c:strRef>
              <c:f>'IF = LO - RF'!$R$3</c:f>
              <c:strCache>
                <c:ptCount val="1"/>
                <c:pt idx="0">
                  <c:v>2RF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RF'!$R$4:$R$7</c:f>
              <c:numCache>
                <c:formatCode>General</c:formatCode>
                <c:ptCount val="4"/>
                <c:pt idx="0">
                  <c:v>-5825</c:v>
                </c:pt>
                <c:pt idx="1">
                  <c:v>-37825</c:v>
                </c:pt>
                <c:pt idx="2">
                  <c:v>-5375</c:v>
                </c:pt>
                <c:pt idx="3">
                  <c:v>-37375</c:v>
                </c:pt>
              </c:numCache>
            </c:numRef>
          </c:yVal>
          <c:smooth val="0"/>
        </c:ser>
        <c:ser>
          <c:idx val="18"/>
          <c:order val="16"/>
          <c:tx>
            <c:strRef>
              <c:f>'IF = LO - RF'!$S$3</c:f>
              <c:strCache>
                <c:ptCount val="1"/>
                <c:pt idx="0">
                  <c:v>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RF'!$S$4:$S$7</c:f>
              <c:numCache>
                <c:formatCode>General</c:formatCode>
                <c:ptCount val="4"/>
                <c:pt idx="0">
                  <c:v>-11650</c:v>
                </c:pt>
                <c:pt idx="1">
                  <c:v>-43650</c:v>
                </c:pt>
                <c:pt idx="2">
                  <c:v>-10750</c:v>
                </c:pt>
                <c:pt idx="3">
                  <c:v>-42750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'IF = LO - RF'!$T$3</c:f>
              <c:strCache>
                <c:ptCount val="1"/>
                <c:pt idx="0">
                  <c:v>RF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RF'!$T$4:$T$7</c:f>
              <c:numCache>
                <c:formatCode>General</c:formatCode>
                <c:ptCount val="4"/>
                <c:pt idx="0">
                  <c:v>11650</c:v>
                </c:pt>
                <c:pt idx="1">
                  <c:v>-20350</c:v>
                </c:pt>
                <c:pt idx="2">
                  <c:v>10750</c:v>
                </c:pt>
                <c:pt idx="3">
                  <c:v>-21250</c:v>
                </c:pt>
              </c:numCache>
            </c:numRef>
          </c:yVal>
          <c:smooth val="0"/>
        </c:ser>
        <c:ser>
          <c:idx val="20"/>
          <c:order val="18"/>
          <c:tx>
            <c:strRef>
              <c:f>'IF = LO - RF'!$U$3</c:f>
              <c:strCache>
                <c:ptCount val="1"/>
                <c:pt idx="0">
                  <c:v>2RF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RF'!$U$4:$U$7</c:f>
              <c:numCache>
                <c:formatCode>General</c:formatCode>
                <c:ptCount val="4"/>
                <c:pt idx="0">
                  <c:v>5825</c:v>
                </c:pt>
                <c:pt idx="1">
                  <c:v>-26175</c:v>
                </c:pt>
                <c:pt idx="2">
                  <c:v>5375</c:v>
                </c:pt>
                <c:pt idx="3">
                  <c:v>-26625</c:v>
                </c:pt>
              </c:numCache>
            </c:numRef>
          </c:yVal>
          <c:smooth val="0"/>
        </c:ser>
        <c:ser>
          <c:idx val="21"/>
          <c:order val="19"/>
          <c:tx>
            <c:strRef>
              <c:f>'IF = LO - RF'!$V$3</c:f>
              <c:strCache>
                <c:ptCount val="1"/>
                <c:pt idx="0">
                  <c:v>LO-2RF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RF'!$V$4:$V$7</c:f>
              <c:numCache>
                <c:formatCode>General</c:formatCode>
                <c:ptCount val="4"/>
                <c:pt idx="0">
                  <c:v>-225</c:v>
                </c:pt>
                <c:pt idx="1">
                  <c:v>-16225</c:v>
                </c:pt>
                <c:pt idx="2">
                  <c:v>225</c:v>
                </c:pt>
                <c:pt idx="3">
                  <c:v>-15775</c:v>
                </c:pt>
              </c:numCache>
            </c:numRef>
          </c:yVal>
          <c:smooth val="0"/>
        </c:ser>
        <c:ser>
          <c:idx val="24"/>
          <c:order val="20"/>
          <c:tx>
            <c:strRef>
              <c:f>'IF = LO - RF'!$Y$3</c:f>
              <c:strCache>
                <c:ptCount val="1"/>
                <c:pt idx="0">
                  <c:v>LO+2RF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RF'!$Y$4:$Y$7</c:f>
              <c:numCache>
                <c:formatCode>General</c:formatCode>
                <c:ptCount val="4"/>
                <c:pt idx="0">
                  <c:v>225</c:v>
                </c:pt>
                <c:pt idx="1">
                  <c:v>-47775</c:v>
                </c:pt>
                <c:pt idx="2">
                  <c:v>-225</c:v>
                </c:pt>
                <c:pt idx="3">
                  <c:v>-48225</c:v>
                </c:pt>
              </c:numCache>
            </c:numRef>
          </c:yVal>
          <c:smooth val="0"/>
        </c:ser>
        <c:ser>
          <c:idx val="25"/>
          <c:order val="21"/>
          <c:tx>
            <c:strRef>
              <c:f>'IF = LO - RF'!$Z$3</c:f>
              <c:strCache>
                <c:ptCount val="1"/>
                <c:pt idx="0">
                  <c:v>2LO-2RF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RF'!$Z$4:$Z$7</c:f>
              <c:numCache>
                <c:formatCode>General</c:formatCode>
                <c:ptCount val="4"/>
                <c:pt idx="0">
                  <c:v>5375</c:v>
                </c:pt>
                <c:pt idx="1">
                  <c:v>5375</c:v>
                </c:pt>
                <c:pt idx="2">
                  <c:v>5825</c:v>
                </c:pt>
                <c:pt idx="3">
                  <c:v>5825</c:v>
                </c:pt>
              </c:numCache>
            </c:numRef>
          </c:yVal>
          <c:smooth val="0"/>
        </c:ser>
        <c:ser>
          <c:idx val="26"/>
          <c:order val="22"/>
          <c:tx>
            <c:strRef>
              <c:f>'IF = LO - RF'!$AA$3</c:f>
              <c:strCache>
                <c:ptCount val="1"/>
                <c:pt idx="0">
                  <c:v>2LO-RF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RF'!$AA$4:$AA$7</c:f>
              <c:numCache>
                <c:formatCode>General</c:formatCode>
                <c:ptCount val="4"/>
                <c:pt idx="0">
                  <c:v>10750</c:v>
                </c:pt>
                <c:pt idx="1">
                  <c:v>42750</c:v>
                </c:pt>
                <c:pt idx="2">
                  <c:v>11650</c:v>
                </c:pt>
                <c:pt idx="3">
                  <c:v>43650</c:v>
                </c:pt>
              </c:numCache>
            </c:numRef>
          </c:yVal>
          <c:smooth val="0"/>
        </c:ser>
        <c:ser>
          <c:idx val="27"/>
          <c:order val="23"/>
          <c:tx>
            <c:strRef>
              <c:f>'IF = LO - RF'!$AB$3</c:f>
              <c:strCache>
                <c:ptCount val="1"/>
                <c:pt idx="0">
                  <c:v>2LO+RF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RF'!$AB$4:$AB$7</c:f>
              <c:numCache>
                <c:formatCode>General</c:formatCode>
                <c:ptCount val="4"/>
                <c:pt idx="0">
                  <c:v>-10750</c:v>
                </c:pt>
                <c:pt idx="1">
                  <c:v>-106750</c:v>
                </c:pt>
                <c:pt idx="2">
                  <c:v>-11650</c:v>
                </c:pt>
                <c:pt idx="3">
                  <c:v>-107650</c:v>
                </c:pt>
              </c:numCache>
            </c:numRef>
          </c:yVal>
          <c:smooth val="0"/>
        </c:ser>
        <c:ser>
          <c:idx val="28"/>
          <c:order val="24"/>
          <c:tx>
            <c:strRef>
              <c:f>'IF = LO - RF'!$AC$3</c:f>
              <c:strCache>
                <c:ptCount val="1"/>
                <c:pt idx="0">
                  <c:v>2LO+2RF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RF'!$AC$4:$AC$7</c:f>
              <c:numCache>
                <c:formatCode>General</c:formatCode>
                <c:ptCount val="4"/>
                <c:pt idx="0">
                  <c:v>-5375</c:v>
                </c:pt>
                <c:pt idx="1">
                  <c:v>-69375</c:v>
                </c:pt>
                <c:pt idx="2">
                  <c:v>-5825</c:v>
                </c:pt>
                <c:pt idx="3">
                  <c:v>-69825</c:v>
                </c:pt>
              </c:numCache>
            </c:numRef>
          </c:yVal>
          <c:smooth val="0"/>
        </c:ser>
        <c:ser>
          <c:idx val="29"/>
          <c:order val="25"/>
          <c:tx>
            <c:strRef>
              <c:f>'IF = LO - RF'!$AD$3</c:f>
              <c:strCache>
                <c:ptCount val="1"/>
                <c:pt idx="0">
                  <c:v>3LO-2RF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RF'!$AD$4:$AD$7</c:f>
              <c:numCache>
                <c:formatCode>General</c:formatCode>
                <c:ptCount val="4"/>
                <c:pt idx="0">
                  <c:v>10975</c:v>
                </c:pt>
                <c:pt idx="1">
                  <c:v>26975</c:v>
                </c:pt>
                <c:pt idx="2">
                  <c:v>11425</c:v>
                </c:pt>
                <c:pt idx="3">
                  <c:v>27425</c:v>
                </c:pt>
              </c:numCache>
            </c:numRef>
          </c:yVal>
          <c:smooth val="0"/>
        </c:ser>
        <c:ser>
          <c:idx val="30"/>
          <c:order val="26"/>
          <c:tx>
            <c:strRef>
              <c:f>'IF = LO - RF'!$AE$3</c:f>
              <c:strCache>
                <c:ptCount val="1"/>
                <c:pt idx="0">
                  <c:v>3LO-RF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RF'!$AE$4:$AE$7</c:f>
              <c:numCache>
                <c:formatCode>General</c:formatCode>
                <c:ptCount val="4"/>
                <c:pt idx="0">
                  <c:v>21950</c:v>
                </c:pt>
                <c:pt idx="1">
                  <c:v>85950</c:v>
                </c:pt>
                <c:pt idx="2">
                  <c:v>22850</c:v>
                </c:pt>
                <c:pt idx="3">
                  <c:v>86850</c:v>
                </c:pt>
              </c:numCache>
            </c:numRef>
          </c:yVal>
          <c:smooth val="0"/>
        </c:ser>
        <c:ser>
          <c:idx val="31"/>
          <c:order val="27"/>
          <c:tx>
            <c:strRef>
              <c:f>'IF = LO - RF'!$AF$3</c:f>
              <c:strCache>
                <c:ptCount val="1"/>
                <c:pt idx="0">
                  <c:v>3LO+RF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RF'!$AF$4:$AF$7</c:f>
              <c:numCache>
                <c:formatCode>General</c:formatCode>
                <c:ptCount val="4"/>
                <c:pt idx="0">
                  <c:v>-21950</c:v>
                </c:pt>
                <c:pt idx="1">
                  <c:v>-149950</c:v>
                </c:pt>
                <c:pt idx="2">
                  <c:v>-22850</c:v>
                </c:pt>
                <c:pt idx="3">
                  <c:v>-150850</c:v>
                </c:pt>
              </c:numCache>
            </c:numRef>
          </c:yVal>
          <c:smooth val="0"/>
        </c:ser>
        <c:ser>
          <c:idx val="32"/>
          <c:order val="28"/>
          <c:tx>
            <c:strRef>
              <c:f>'IF = LO - RF'!$AG$3</c:f>
              <c:strCache>
                <c:ptCount val="1"/>
                <c:pt idx="0">
                  <c:v>3LO+2RF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RF'!$AG$4:$AG$7</c:f>
              <c:numCache>
                <c:formatCode>General</c:formatCode>
                <c:ptCount val="4"/>
                <c:pt idx="0">
                  <c:v>-10975</c:v>
                </c:pt>
                <c:pt idx="1">
                  <c:v>-90975</c:v>
                </c:pt>
                <c:pt idx="2">
                  <c:v>-11425</c:v>
                </c:pt>
                <c:pt idx="3">
                  <c:v>-91425</c:v>
                </c:pt>
              </c:numCache>
            </c:numRef>
          </c:yVal>
          <c:smooth val="0"/>
        </c:ser>
        <c:ser>
          <c:idx val="33"/>
          <c:order val="29"/>
          <c:tx>
            <c:strRef>
              <c:f>'IF = LO - RF'!$AH$3</c:f>
              <c:strCache>
                <c:ptCount val="1"/>
                <c:pt idx="0">
                  <c:v>4LO-2RF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RF'!$AH$4:$AH$7</c:f>
              <c:numCache>
                <c:formatCode>General</c:formatCode>
                <c:ptCount val="4"/>
                <c:pt idx="0">
                  <c:v>16575</c:v>
                </c:pt>
                <c:pt idx="1">
                  <c:v>48575</c:v>
                </c:pt>
                <c:pt idx="2">
                  <c:v>17025</c:v>
                </c:pt>
                <c:pt idx="3">
                  <c:v>49025</c:v>
                </c:pt>
              </c:numCache>
            </c:numRef>
          </c:yVal>
          <c:smooth val="0"/>
        </c:ser>
        <c:ser>
          <c:idx val="34"/>
          <c:order val="30"/>
          <c:tx>
            <c:strRef>
              <c:f>'IF = LO - RF'!$AI$3</c:f>
              <c:strCache>
                <c:ptCount val="1"/>
                <c:pt idx="0">
                  <c:v>4LO-RF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RF'!$AI$4:$AI$7</c:f>
              <c:numCache>
                <c:formatCode>General</c:formatCode>
                <c:ptCount val="4"/>
                <c:pt idx="0">
                  <c:v>33150</c:v>
                </c:pt>
                <c:pt idx="1">
                  <c:v>129150</c:v>
                </c:pt>
                <c:pt idx="2">
                  <c:v>34050</c:v>
                </c:pt>
                <c:pt idx="3">
                  <c:v>130050</c:v>
                </c:pt>
              </c:numCache>
            </c:numRef>
          </c:yVal>
          <c:smooth val="0"/>
        </c:ser>
        <c:ser>
          <c:idx val="35"/>
          <c:order val="31"/>
          <c:tx>
            <c:strRef>
              <c:f>'IF = LO - RF'!$AJ$3</c:f>
              <c:strCache>
                <c:ptCount val="1"/>
                <c:pt idx="0">
                  <c:v>4LO+RF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RF'!$AJ$4:$AJ$7</c:f>
              <c:numCache>
                <c:formatCode>General</c:formatCode>
                <c:ptCount val="4"/>
                <c:pt idx="0">
                  <c:v>-33150</c:v>
                </c:pt>
                <c:pt idx="1">
                  <c:v>-193150</c:v>
                </c:pt>
                <c:pt idx="2">
                  <c:v>-34050</c:v>
                </c:pt>
                <c:pt idx="3">
                  <c:v>-194050</c:v>
                </c:pt>
              </c:numCache>
            </c:numRef>
          </c:yVal>
          <c:smooth val="0"/>
        </c:ser>
        <c:ser>
          <c:idx val="36"/>
          <c:order val="32"/>
          <c:tx>
            <c:strRef>
              <c:f>'IF = LO - RF'!$AK$3</c:f>
              <c:strCache>
                <c:ptCount val="1"/>
                <c:pt idx="0">
                  <c:v>4LO+2RF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RF'!$AK$4:$AK$7</c:f>
              <c:numCache>
                <c:formatCode>General</c:formatCode>
                <c:ptCount val="4"/>
                <c:pt idx="0">
                  <c:v>-16575</c:v>
                </c:pt>
                <c:pt idx="1">
                  <c:v>-112575</c:v>
                </c:pt>
                <c:pt idx="2">
                  <c:v>-17025</c:v>
                </c:pt>
                <c:pt idx="3">
                  <c:v>-113025</c:v>
                </c:pt>
              </c:numCache>
            </c:numRef>
          </c:yVal>
          <c:smooth val="0"/>
        </c:ser>
        <c:ser>
          <c:idx val="0"/>
          <c:order val="33"/>
          <c:tx>
            <c:strRef>
              <c:f>'IF = LO - RF'!$AR$3</c:f>
              <c:strCache>
                <c:ptCount val="1"/>
                <c:pt idx="0">
                  <c:v>top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LO - RF'!$AQ$4:$AQ$5</c:f>
              <c:numCache>
                <c:formatCode>General</c:formatCode>
                <c:ptCount val="2"/>
                <c:pt idx="0">
                  <c:v>6150</c:v>
                </c:pt>
                <c:pt idx="1">
                  <c:v>10350</c:v>
                </c:pt>
              </c:numCache>
            </c:numRef>
          </c:xVal>
          <c:yVal>
            <c:numRef>
              <c:f>'IF = LO - RF'!$AR$4:$AR$5</c:f>
              <c:numCache>
                <c:formatCode>General</c:formatCode>
                <c:ptCount val="2"/>
                <c:pt idx="0">
                  <c:v>4350</c:v>
                </c:pt>
                <c:pt idx="1">
                  <c:v>150</c:v>
                </c:pt>
              </c:numCache>
            </c:numRef>
          </c:yVal>
          <c:smooth val="0"/>
        </c:ser>
        <c:ser>
          <c:idx val="23"/>
          <c:order val="34"/>
          <c:tx>
            <c:strRef>
              <c:f>'IF = LO - RF'!$AU$3</c:f>
              <c:strCache>
                <c:ptCount val="1"/>
                <c:pt idx="0">
                  <c:v>bot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LO - RF'!$AT$4:$AT$5</c:f>
              <c:numCache>
                <c:formatCode>General</c:formatCode>
                <c:ptCount val="2"/>
                <c:pt idx="0">
                  <c:v>6150</c:v>
                </c:pt>
                <c:pt idx="1">
                  <c:v>10350</c:v>
                </c:pt>
              </c:numCache>
            </c:numRef>
          </c:xVal>
          <c:yVal>
            <c:numRef>
              <c:f>'IF = LO - RF'!$AU$4:$AU$5</c:f>
              <c:numCache>
                <c:formatCode>General</c:formatCode>
                <c:ptCount val="2"/>
                <c:pt idx="0">
                  <c:v>-150</c:v>
                </c:pt>
                <c:pt idx="1">
                  <c:v>-4350</c:v>
                </c:pt>
              </c:numCache>
            </c:numRef>
          </c:yVal>
          <c:smooth val="0"/>
        </c:ser>
        <c:ser>
          <c:idx val="37"/>
          <c:order val="35"/>
          <c:tx>
            <c:strRef>
              <c:f>'IF = LO - RF'!$AX$3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LO - RF'!$AW$4:$AW$5</c:f>
              <c:numCache>
                <c:formatCode>General</c:formatCode>
                <c:ptCount val="2"/>
                <c:pt idx="0">
                  <c:v>6150</c:v>
                </c:pt>
                <c:pt idx="1">
                  <c:v>6150</c:v>
                </c:pt>
              </c:numCache>
            </c:numRef>
          </c:xVal>
          <c:yVal>
            <c:numRef>
              <c:f>'IF = LO - RF'!$AX$4:$AX$5</c:f>
              <c:numCache>
                <c:formatCode>General</c:formatCode>
                <c:ptCount val="2"/>
                <c:pt idx="0">
                  <c:v>4350</c:v>
                </c:pt>
                <c:pt idx="1">
                  <c:v>-150</c:v>
                </c:pt>
              </c:numCache>
            </c:numRef>
          </c:yVal>
          <c:smooth val="0"/>
        </c:ser>
        <c:ser>
          <c:idx val="38"/>
          <c:order val="36"/>
          <c:tx>
            <c:strRef>
              <c:f>'IF = LO - RF'!$BA$3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LO - RF'!$AZ$4:$AZ$5</c:f>
              <c:numCache>
                <c:formatCode>General</c:formatCode>
                <c:ptCount val="2"/>
                <c:pt idx="0">
                  <c:v>10350</c:v>
                </c:pt>
                <c:pt idx="1">
                  <c:v>10350</c:v>
                </c:pt>
              </c:numCache>
            </c:numRef>
          </c:xVal>
          <c:yVal>
            <c:numRef>
              <c:f>'IF = LO - RF'!$BA$4:$BA$5</c:f>
              <c:numCache>
                <c:formatCode>General</c:formatCode>
                <c:ptCount val="2"/>
                <c:pt idx="0">
                  <c:v>-4350</c:v>
                </c:pt>
                <c:pt idx="1">
                  <c:v>150</c:v>
                </c:pt>
              </c:numCache>
            </c:numRef>
          </c:yVal>
          <c:smooth val="0"/>
        </c:ser>
        <c:ser>
          <c:idx val="15"/>
          <c:order val="37"/>
          <c:tx>
            <c:strRef>
              <c:f>'IF = LO - RF'!$X$3</c:f>
              <c:strCache>
                <c:ptCount val="1"/>
                <c:pt idx="0">
                  <c:v>LO+RF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RF'!$X$4:$X$7</c:f>
              <c:numCache>
                <c:formatCode>General</c:formatCode>
                <c:ptCount val="4"/>
                <c:pt idx="0">
                  <c:v>450</c:v>
                </c:pt>
                <c:pt idx="1">
                  <c:v>-63550</c:v>
                </c:pt>
                <c:pt idx="2">
                  <c:v>-450</c:v>
                </c:pt>
                <c:pt idx="3">
                  <c:v>-64450</c:v>
                </c:pt>
              </c:numCache>
            </c:numRef>
          </c:yVal>
          <c:smooth val="0"/>
        </c:ser>
        <c:ser>
          <c:idx val="22"/>
          <c:order val="38"/>
          <c:tx>
            <c:strRef>
              <c:f>'IF = LO - RF'!$P$3</c:f>
              <c:strCache>
                <c:ptCount val="1"/>
                <c:pt idx="0">
                  <c:v>RF-LO (IMF)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RF'!$P$4:$P$7</c:f>
              <c:numCache>
                <c:formatCode>General</c:formatCode>
                <c:ptCount val="4"/>
                <c:pt idx="0">
                  <c:v>22850</c:v>
                </c:pt>
                <c:pt idx="1">
                  <c:v>22850</c:v>
                </c:pt>
                <c:pt idx="2">
                  <c:v>21950</c:v>
                </c:pt>
                <c:pt idx="3">
                  <c:v>21950</c:v>
                </c:pt>
              </c:numCache>
            </c:numRef>
          </c:yVal>
          <c:smooth val="0"/>
        </c:ser>
        <c:ser>
          <c:idx val="39"/>
          <c:order val="39"/>
          <c:tx>
            <c:strRef>
              <c:f>'IF = LO - RF'!$AL$3</c:f>
              <c:strCache>
                <c:ptCount val="1"/>
                <c:pt idx="0">
                  <c:v>LO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RF'!$AL$4:$AL$7</c:f>
              <c:numCache>
                <c:formatCode>General</c:formatCode>
                <c:ptCount val="4"/>
                <c:pt idx="0">
                  <c:v>-450</c:v>
                </c:pt>
                <c:pt idx="1">
                  <c:v>31550</c:v>
                </c:pt>
                <c:pt idx="2">
                  <c:v>450</c:v>
                </c:pt>
                <c:pt idx="3">
                  <c:v>32450</c:v>
                </c:pt>
              </c:numCache>
            </c:numRef>
          </c:yVal>
          <c:smooth val="0"/>
        </c:ser>
        <c:ser>
          <c:idx val="40"/>
          <c:order val="40"/>
          <c:tx>
            <c:strRef>
              <c:f>'IF = LO - RF'!$AM$3</c:f>
              <c:strCache>
                <c:ptCount val="1"/>
                <c:pt idx="0">
                  <c:v>2LO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RF'!$AM$4:$AM$7</c:f>
              <c:numCache>
                <c:formatCode>General</c:formatCode>
                <c:ptCount val="4"/>
                <c:pt idx="0">
                  <c:v>10750</c:v>
                </c:pt>
                <c:pt idx="1">
                  <c:v>74750</c:v>
                </c:pt>
                <c:pt idx="2">
                  <c:v>11650</c:v>
                </c:pt>
                <c:pt idx="3">
                  <c:v>75650</c:v>
                </c:pt>
              </c:numCache>
            </c:numRef>
          </c:yVal>
          <c:smooth val="0"/>
        </c:ser>
        <c:ser>
          <c:idx val="41"/>
          <c:order val="41"/>
          <c:tx>
            <c:strRef>
              <c:f>'IF = LO - RF'!$AN$3</c:f>
              <c:strCache>
                <c:ptCount val="1"/>
                <c:pt idx="0">
                  <c:v>3LO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RF'!$AN$4:$AN$7</c:f>
              <c:numCache>
                <c:formatCode>General</c:formatCode>
                <c:ptCount val="4"/>
                <c:pt idx="0">
                  <c:v>21950</c:v>
                </c:pt>
                <c:pt idx="1">
                  <c:v>117950</c:v>
                </c:pt>
                <c:pt idx="2">
                  <c:v>22850</c:v>
                </c:pt>
                <c:pt idx="3">
                  <c:v>118850</c:v>
                </c:pt>
              </c:numCache>
            </c:numRef>
          </c:yVal>
          <c:smooth val="0"/>
        </c:ser>
        <c:ser>
          <c:idx val="42"/>
          <c:order val="42"/>
          <c:tx>
            <c:strRef>
              <c:f>'IF = LO - RF'!$AO$3</c:f>
              <c:strCache>
                <c:ptCount val="1"/>
                <c:pt idx="0">
                  <c:v>4LO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'IF = LO - RF'!$A$4:$A$7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LO - RF'!$AO$4:$AO$7</c:f>
              <c:numCache>
                <c:formatCode>General</c:formatCode>
                <c:ptCount val="4"/>
                <c:pt idx="0">
                  <c:v>33150</c:v>
                </c:pt>
                <c:pt idx="1">
                  <c:v>161150</c:v>
                </c:pt>
                <c:pt idx="2">
                  <c:v>34050</c:v>
                </c:pt>
                <c:pt idx="3">
                  <c:v>162050</c:v>
                </c:pt>
              </c:numCache>
            </c:numRef>
          </c:yVal>
          <c:smooth val="0"/>
        </c:ser>
        <c:ser>
          <c:idx val="43"/>
          <c:order val="43"/>
          <c:tx>
            <c:strRef>
              <c:f>'IF = LO - RF'!$BC$2:$BD$2</c:f>
              <c:strCache>
                <c:ptCount val="1"/>
                <c:pt idx="0">
                  <c:v>IF line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LO - RF'!$BC$4:$BC$5</c:f>
              <c:numCache>
                <c:formatCode>General</c:formatCode>
                <c:ptCount val="2"/>
                <c:pt idx="0">
                  <c:v>11200</c:v>
                </c:pt>
                <c:pt idx="1">
                  <c:v>11200</c:v>
                </c:pt>
              </c:numCache>
            </c:numRef>
          </c:xVal>
          <c:yVal>
            <c:numRef>
              <c:f>'IF = LO - RF'!$BD$4:$BD$5</c:f>
              <c:numCache>
                <c:formatCode>General</c:formatCode>
                <c:ptCount val="2"/>
                <c:pt idx="0">
                  <c:v>-32000</c:v>
                </c:pt>
                <c:pt idx="1">
                  <c:v>32000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05816"/>
        <c:axId val="214102752"/>
      </c:scatterChart>
      <c:valAx>
        <c:axId val="214105816"/>
        <c:scaling>
          <c:orientation val="minMax"/>
          <c:max val="32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102752"/>
        <c:crosses val="autoZero"/>
        <c:crossBetween val="midCat"/>
        <c:majorUnit val="3200"/>
        <c:minorUnit val="64"/>
      </c:valAx>
      <c:valAx>
        <c:axId val="214102752"/>
        <c:scaling>
          <c:orientation val="minMax"/>
          <c:max val="10000"/>
          <c:min val="-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105816"/>
        <c:crosses val="autoZero"/>
        <c:crossBetween val="midCat"/>
        <c:majorUnit val="20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IF = RF - LO</a:t>
            </a:r>
          </a:p>
        </c:rich>
      </c:tx>
      <c:layout>
        <c:manualLayout>
          <c:xMode val="edge"/>
          <c:yMode val="edge"/>
          <c:x val="0.45391497519698093"/>
          <c:y val="3.056768558951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11298315163527E-2"/>
          <c:y val="0.10844250363901019"/>
          <c:w val="0.89891024670071251"/>
          <c:h val="0.84061135371179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'IF =  RF - LO'!$B$3</c:f>
              <c:strCache>
                <c:ptCount val="1"/>
                <c:pt idx="0">
                  <c:v>4LO+2RF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LO'!$B$4:$B$7</c:f>
              <c:numCache>
                <c:formatCode>General</c:formatCode>
                <c:ptCount val="4"/>
                <c:pt idx="0">
                  <c:v>28575</c:v>
                </c:pt>
                <c:pt idx="1">
                  <c:v>-67425</c:v>
                </c:pt>
                <c:pt idx="2">
                  <c:v>29025</c:v>
                </c:pt>
                <c:pt idx="3">
                  <c:v>-66975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'IF =  RF - LO'!$C$3</c:f>
              <c:strCache>
                <c:ptCount val="1"/>
                <c:pt idx="0">
                  <c:v>4LO+RF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LO'!$C$4:$C$7</c:f>
              <c:numCache>
                <c:formatCode>General</c:formatCode>
                <c:ptCount val="4"/>
                <c:pt idx="0">
                  <c:v>57150</c:v>
                </c:pt>
                <c:pt idx="1">
                  <c:v>-102850</c:v>
                </c:pt>
                <c:pt idx="2">
                  <c:v>58050</c:v>
                </c:pt>
                <c:pt idx="3">
                  <c:v>-101950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'IF =  RF - LO'!$D$3</c:f>
              <c:strCache>
                <c:ptCount val="1"/>
                <c:pt idx="0">
                  <c:v>RF-4LO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LO'!$D$4:$D$7</c:f>
              <c:numCache>
                <c:formatCode>General</c:formatCode>
                <c:ptCount val="4"/>
                <c:pt idx="0">
                  <c:v>-57150</c:v>
                </c:pt>
                <c:pt idx="1">
                  <c:v>38850</c:v>
                </c:pt>
                <c:pt idx="2">
                  <c:v>-58050</c:v>
                </c:pt>
                <c:pt idx="3">
                  <c:v>37950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'IF =  RF - LO'!$E$3</c:f>
              <c:strCache>
                <c:ptCount val="1"/>
                <c:pt idx="0">
                  <c:v>2RF-4LO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LO'!$E$4:$E$7</c:f>
              <c:numCache>
                <c:formatCode>General</c:formatCode>
                <c:ptCount val="4"/>
                <c:pt idx="0">
                  <c:v>-28575</c:v>
                </c:pt>
                <c:pt idx="1">
                  <c:v>3425</c:v>
                </c:pt>
                <c:pt idx="2">
                  <c:v>-29025</c:v>
                </c:pt>
                <c:pt idx="3">
                  <c:v>2975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'IF =  RF - LO'!$F$3</c:f>
              <c:strCache>
                <c:ptCount val="1"/>
                <c:pt idx="0">
                  <c:v>3LO+2RF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LO'!$F$4:$F$7</c:f>
              <c:numCache>
                <c:formatCode>General</c:formatCode>
                <c:ptCount val="4"/>
                <c:pt idx="0">
                  <c:v>18975</c:v>
                </c:pt>
                <c:pt idx="1">
                  <c:v>-61025</c:v>
                </c:pt>
                <c:pt idx="2">
                  <c:v>19425</c:v>
                </c:pt>
                <c:pt idx="3">
                  <c:v>-60575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'IF =  RF - LO'!$G$3</c:f>
              <c:strCache>
                <c:ptCount val="1"/>
                <c:pt idx="0">
                  <c:v>3LO+RF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LO'!$G$4:$G$7</c:f>
              <c:numCache>
                <c:formatCode>General</c:formatCode>
                <c:ptCount val="4"/>
                <c:pt idx="0">
                  <c:v>37950</c:v>
                </c:pt>
                <c:pt idx="1">
                  <c:v>-90050</c:v>
                </c:pt>
                <c:pt idx="2">
                  <c:v>38850</c:v>
                </c:pt>
                <c:pt idx="3">
                  <c:v>-89150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'IF =  RF - LO'!$H$3</c:f>
              <c:strCache>
                <c:ptCount val="1"/>
                <c:pt idx="0">
                  <c:v>RF-3LO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LO'!$H$4:$H$7</c:f>
              <c:numCache>
                <c:formatCode>General</c:formatCode>
                <c:ptCount val="4"/>
                <c:pt idx="0">
                  <c:v>-37950</c:v>
                </c:pt>
                <c:pt idx="1">
                  <c:v>26050</c:v>
                </c:pt>
                <c:pt idx="2">
                  <c:v>-38850</c:v>
                </c:pt>
                <c:pt idx="3">
                  <c:v>25150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'IF =  RF - LO'!$I$3</c:f>
              <c:strCache>
                <c:ptCount val="1"/>
                <c:pt idx="0">
                  <c:v>2RF-3LO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LO'!$I$4:$I$7</c:f>
              <c:numCache>
                <c:formatCode>General</c:formatCode>
                <c:ptCount val="4"/>
                <c:pt idx="0">
                  <c:v>-18975</c:v>
                </c:pt>
                <c:pt idx="1">
                  <c:v>-2975</c:v>
                </c:pt>
                <c:pt idx="2">
                  <c:v>-19425</c:v>
                </c:pt>
                <c:pt idx="3">
                  <c:v>-3425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'IF =  RF - LO'!$J$3</c:f>
              <c:strCache>
                <c:ptCount val="1"/>
                <c:pt idx="0">
                  <c:v>2LO+2RF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LO'!$J$4:$J$7</c:f>
              <c:numCache>
                <c:formatCode>General</c:formatCode>
                <c:ptCount val="4"/>
                <c:pt idx="0">
                  <c:v>9375</c:v>
                </c:pt>
                <c:pt idx="1">
                  <c:v>-54625</c:v>
                </c:pt>
                <c:pt idx="2">
                  <c:v>9825</c:v>
                </c:pt>
                <c:pt idx="3">
                  <c:v>-54175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'IF =  RF - LO'!$K$3</c:f>
              <c:strCache>
                <c:ptCount val="1"/>
                <c:pt idx="0">
                  <c:v>2LO+RF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LO'!$K$4:$K$7</c:f>
              <c:numCache>
                <c:formatCode>General</c:formatCode>
                <c:ptCount val="4"/>
                <c:pt idx="0">
                  <c:v>18750</c:v>
                </c:pt>
                <c:pt idx="1">
                  <c:v>-77250</c:v>
                </c:pt>
                <c:pt idx="2">
                  <c:v>19650</c:v>
                </c:pt>
                <c:pt idx="3">
                  <c:v>-76350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'IF =  RF - LO'!$L$3</c:f>
              <c:strCache>
                <c:ptCount val="1"/>
                <c:pt idx="0">
                  <c:v>RF-2LO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LO'!$L$4:$L$7</c:f>
              <c:numCache>
                <c:formatCode>General</c:formatCode>
                <c:ptCount val="4"/>
                <c:pt idx="0">
                  <c:v>-18750</c:v>
                </c:pt>
                <c:pt idx="1">
                  <c:v>13250</c:v>
                </c:pt>
                <c:pt idx="2">
                  <c:v>-19650</c:v>
                </c:pt>
                <c:pt idx="3">
                  <c:v>12350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'IF =  RF - LO'!$M$3</c:f>
              <c:strCache>
                <c:ptCount val="1"/>
                <c:pt idx="0">
                  <c:v>2RF-2LO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LO'!$M$4:$M$7</c:f>
              <c:numCache>
                <c:formatCode>General</c:formatCode>
                <c:ptCount val="4"/>
                <c:pt idx="0">
                  <c:v>-9375</c:v>
                </c:pt>
                <c:pt idx="1">
                  <c:v>-9375</c:v>
                </c:pt>
                <c:pt idx="2">
                  <c:v>-9825</c:v>
                </c:pt>
                <c:pt idx="3">
                  <c:v>-9825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'IF =  RF - LO'!$N$3</c:f>
              <c:strCache>
                <c:ptCount val="1"/>
                <c:pt idx="0">
                  <c:v>LO+2RF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LO'!$N$4:$N$7</c:f>
              <c:numCache>
                <c:formatCode>General</c:formatCode>
                <c:ptCount val="4"/>
                <c:pt idx="0">
                  <c:v>-225</c:v>
                </c:pt>
                <c:pt idx="1">
                  <c:v>-48225</c:v>
                </c:pt>
                <c:pt idx="2">
                  <c:v>225</c:v>
                </c:pt>
                <c:pt idx="3">
                  <c:v>-47775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'IF =  RF - LO'!$O$3</c:f>
              <c:strCache>
                <c:ptCount val="1"/>
                <c:pt idx="0">
                  <c:v>LO+RF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LO'!$O$4:$O$7</c:f>
              <c:numCache>
                <c:formatCode>General</c:formatCode>
                <c:ptCount val="4"/>
                <c:pt idx="0">
                  <c:v>-450</c:v>
                </c:pt>
                <c:pt idx="1">
                  <c:v>-64450</c:v>
                </c:pt>
                <c:pt idx="2">
                  <c:v>450</c:v>
                </c:pt>
                <c:pt idx="3">
                  <c:v>-63550</c:v>
                </c:pt>
              </c:numCache>
            </c:numRef>
          </c:yVal>
          <c:smooth val="0"/>
        </c:ser>
        <c:ser>
          <c:idx val="16"/>
          <c:order val="14"/>
          <c:tx>
            <c:strRef>
              <c:f>'IF =  RF - LO'!$Q$3</c:f>
              <c:strCache>
                <c:ptCount val="1"/>
                <c:pt idx="0">
                  <c:v>2RF-LO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LO'!$Q$4:$Q$7</c:f>
              <c:numCache>
                <c:formatCode>General</c:formatCode>
                <c:ptCount val="4"/>
                <c:pt idx="0">
                  <c:v>225</c:v>
                </c:pt>
                <c:pt idx="1">
                  <c:v>-15775</c:v>
                </c:pt>
                <c:pt idx="2">
                  <c:v>-225</c:v>
                </c:pt>
                <c:pt idx="3">
                  <c:v>-16225</c:v>
                </c:pt>
              </c:numCache>
            </c:numRef>
          </c:yVal>
          <c:smooth val="0"/>
        </c:ser>
        <c:ser>
          <c:idx val="17"/>
          <c:order val="15"/>
          <c:tx>
            <c:strRef>
              <c:f>'IF =  RF - LO'!$R$3</c:f>
              <c:strCache>
                <c:ptCount val="1"/>
                <c:pt idx="0">
                  <c:v>2RF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LO'!$R$4:$R$7</c:f>
              <c:numCache>
                <c:formatCode>General</c:formatCode>
                <c:ptCount val="4"/>
                <c:pt idx="0">
                  <c:v>-9825</c:v>
                </c:pt>
                <c:pt idx="1">
                  <c:v>-41825</c:v>
                </c:pt>
                <c:pt idx="2">
                  <c:v>-9375</c:v>
                </c:pt>
                <c:pt idx="3">
                  <c:v>-41375</c:v>
                </c:pt>
              </c:numCache>
            </c:numRef>
          </c:yVal>
          <c:smooth val="0"/>
        </c:ser>
        <c:ser>
          <c:idx val="18"/>
          <c:order val="16"/>
          <c:tx>
            <c:strRef>
              <c:f>'IF =  RF - LO'!$S$3</c:f>
              <c:strCache>
                <c:ptCount val="1"/>
                <c:pt idx="0">
                  <c:v>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LO'!$S$4:$S$7</c:f>
              <c:numCache>
                <c:formatCode>General</c:formatCode>
                <c:ptCount val="4"/>
                <c:pt idx="0">
                  <c:v>-19650</c:v>
                </c:pt>
                <c:pt idx="1">
                  <c:v>-51650</c:v>
                </c:pt>
                <c:pt idx="2">
                  <c:v>-18750</c:v>
                </c:pt>
                <c:pt idx="3">
                  <c:v>-50750</c:v>
                </c:pt>
              </c:numCache>
            </c:numRef>
          </c:yVal>
          <c:smooth val="0"/>
        </c:ser>
        <c:ser>
          <c:idx val="19"/>
          <c:order val="17"/>
          <c:tx>
            <c:strRef>
              <c:f>'IF =  RF - LO'!$T$3</c:f>
              <c:strCache>
                <c:ptCount val="1"/>
                <c:pt idx="0">
                  <c:v>RF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LO'!$T$4:$T$7</c:f>
              <c:numCache>
                <c:formatCode>General</c:formatCode>
                <c:ptCount val="4"/>
                <c:pt idx="0">
                  <c:v>19650</c:v>
                </c:pt>
                <c:pt idx="1">
                  <c:v>-12350</c:v>
                </c:pt>
                <c:pt idx="2">
                  <c:v>18750</c:v>
                </c:pt>
                <c:pt idx="3">
                  <c:v>-13250</c:v>
                </c:pt>
              </c:numCache>
            </c:numRef>
          </c:yVal>
          <c:smooth val="0"/>
        </c:ser>
        <c:ser>
          <c:idx val="20"/>
          <c:order val="18"/>
          <c:tx>
            <c:strRef>
              <c:f>'IF =  RF - LO'!$U$3</c:f>
              <c:strCache>
                <c:ptCount val="1"/>
                <c:pt idx="0">
                  <c:v>2RF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LO'!$U$4:$U$7</c:f>
              <c:numCache>
                <c:formatCode>General</c:formatCode>
                <c:ptCount val="4"/>
                <c:pt idx="0">
                  <c:v>9825</c:v>
                </c:pt>
                <c:pt idx="1">
                  <c:v>-22175</c:v>
                </c:pt>
                <c:pt idx="2">
                  <c:v>9375</c:v>
                </c:pt>
                <c:pt idx="3">
                  <c:v>-22625</c:v>
                </c:pt>
              </c:numCache>
            </c:numRef>
          </c:yVal>
          <c:smooth val="0"/>
        </c:ser>
        <c:ser>
          <c:idx val="21"/>
          <c:order val="19"/>
          <c:tx>
            <c:strRef>
              <c:f>'IF =  RF - LO'!$V$3</c:f>
              <c:strCache>
                <c:ptCount val="1"/>
                <c:pt idx="0">
                  <c:v>LO-2RF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LO'!$V$4:$V$7</c:f>
              <c:numCache>
                <c:formatCode>General</c:formatCode>
                <c:ptCount val="4"/>
                <c:pt idx="0">
                  <c:v>-19425</c:v>
                </c:pt>
                <c:pt idx="1">
                  <c:v>-35425</c:v>
                </c:pt>
                <c:pt idx="2">
                  <c:v>-18975</c:v>
                </c:pt>
                <c:pt idx="3">
                  <c:v>-34975</c:v>
                </c:pt>
              </c:numCache>
            </c:numRef>
          </c:yVal>
          <c:smooth val="0"/>
        </c:ser>
        <c:ser>
          <c:idx val="24"/>
          <c:order val="20"/>
          <c:tx>
            <c:strRef>
              <c:f>'IF =  RF - LO'!$Y$3</c:f>
              <c:strCache>
                <c:ptCount val="1"/>
                <c:pt idx="0">
                  <c:v>LO+2RF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LO'!$Y$4:$Y$7</c:f>
              <c:numCache>
                <c:formatCode>General</c:formatCode>
                <c:ptCount val="4"/>
                <c:pt idx="0">
                  <c:v>19425</c:v>
                </c:pt>
                <c:pt idx="1">
                  <c:v>-28575</c:v>
                </c:pt>
                <c:pt idx="2">
                  <c:v>18975</c:v>
                </c:pt>
                <c:pt idx="3">
                  <c:v>-29025</c:v>
                </c:pt>
              </c:numCache>
            </c:numRef>
          </c:yVal>
          <c:smooth val="0"/>
        </c:ser>
        <c:ser>
          <c:idx val="25"/>
          <c:order val="21"/>
          <c:tx>
            <c:strRef>
              <c:f>'IF =  RF - LO'!$Z$3</c:f>
              <c:strCache>
                <c:ptCount val="1"/>
                <c:pt idx="0">
                  <c:v>2LO-2RF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LO'!$Z$4:$Z$7</c:f>
              <c:numCache>
                <c:formatCode>General</c:formatCode>
                <c:ptCount val="4"/>
                <c:pt idx="0">
                  <c:v>-29025</c:v>
                </c:pt>
                <c:pt idx="1">
                  <c:v>-29025</c:v>
                </c:pt>
                <c:pt idx="2">
                  <c:v>-28575</c:v>
                </c:pt>
                <c:pt idx="3">
                  <c:v>-28575</c:v>
                </c:pt>
              </c:numCache>
            </c:numRef>
          </c:yVal>
          <c:smooth val="0"/>
        </c:ser>
        <c:ser>
          <c:idx val="26"/>
          <c:order val="22"/>
          <c:tx>
            <c:strRef>
              <c:f>'IF =  RF - LO'!$AA$3</c:f>
              <c:strCache>
                <c:ptCount val="1"/>
                <c:pt idx="0">
                  <c:v>2LO-RF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LO'!$AA$4:$AA$7</c:f>
              <c:numCache>
                <c:formatCode>General</c:formatCode>
                <c:ptCount val="4"/>
                <c:pt idx="0">
                  <c:v>-58050</c:v>
                </c:pt>
                <c:pt idx="1">
                  <c:v>-26050</c:v>
                </c:pt>
                <c:pt idx="2">
                  <c:v>-57150</c:v>
                </c:pt>
                <c:pt idx="3">
                  <c:v>-25150</c:v>
                </c:pt>
              </c:numCache>
            </c:numRef>
          </c:yVal>
          <c:smooth val="0"/>
        </c:ser>
        <c:ser>
          <c:idx val="27"/>
          <c:order val="23"/>
          <c:tx>
            <c:strRef>
              <c:f>'IF =  RF - LO'!$AB$3</c:f>
              <c:strCache>
                <c:ptCount val="1"/>
                <c:pt idx="0">
                  <c:v>2LO+RF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LO'!$AB$4:$AB$7</c:f>
              <c:numCache>
                <c:formatCode>General</c:formatCode>
                <c:ptCount val="4"/>
                <c:pt idx="0">
                  <c:v>58050</c:v>
                </c:pt>
                <c:pt idx="1">
                  <c:v>-37950</c:v>
                </c:pt>
                <c:pt idx="2">
                  <c:v>57150</c:v>
                </c:pt>
                <c:pt idx="3">
                  <c:v>-38850</c:v>
                </c:pt>
              </c:numCache>
            </c:numRef>
          </c:yVal>
          <c:smooth val="0"/>
        </c:ser>
        <c:ser>
          <c:idx val="28"/>
          <c:order val="24"/>
          <c:tx>
            <c:strRef>
              <c:f>'IF =  RF - LO'!$AC$3</c:f>
              <c:strCache>
                <c:ptCount val="1"/>
                <c:pt idx="0">
                  <c:v>2LO+2RF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LO'!$AC$4:$AC$7</c:f>
              <c:numCache>
                <c:formatCode>General</c:formatCode>
                <c:ptCount val="4"/>
                <c:pt idx="0">
                  <c:v>29025</c:v>
                </c:pt>
                <c:pt idx="1">
                  <c:v>-34975</c:v>
                </c:pt>
                <c:pt idx="2">
                  <c:v>28575</c:v>
                </c:pt>
                <c:pt idx="3">
                  <c:v>-35425</c:v>
                </c:pt>
              </c:numCache>
            </c:numRef>
          </c:yVal>
          <c:smooth val="0"/>
        </c:ser>
        <c:ser>
          <c:idx val="29"/>
          <c:order val="25"/>
          <c:tx>
            <c:strRef>
              <c:f>'IF =  RF - LO'!$AD$3</c:f>
              <c:strCache>
                <c:ptCount val="1"/>
                <c:pt idx="0">
                  <c:v>3LO-2RF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LO'!$AD$4:$AD$7</c:f>
              <c:numCache>
                <c:formatCode>General</c:formatCode>
                <c:ptCount val="4"/>
                <c:pt idx="0">
                  <c:v>-38625</c:v>
                </c:pt>
                <c:pt idx="1">
                  <c:v>-22625</c:v>
                </c:pt>
                <c:pt idx="2">
                  <c:v>-38175</c:v>
                </c:pt>
                <c:pt idx="3">
                  <c:v>-22175</c:v>
                </c:pt>
              </c:numCache>
            </c:numRef>
          </c:yVal>
          <c:smooth val="0"/>
        </c:ser>
        <c:ser>
          <c:idx val="30"/>
          <c:order val="26"/>
          <c:tx>
            <c:strRef>
              <c:f>'IF =  RF - LO'!$AE$3</c:f>
              <c:strCache>
                <c:ptCount val="1"/>
                <c:pt idx="0">
                  <c:v>3LO-RF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LO'!$AE$4:$AE$7</c:f>
              <c:numCache>
                <c:formatCode>General</c:formatCode>
                <c:ptCount val="4"/>
                <c:pt idx="0">
                  <c:v>-77250</c:v>
                </c:pt>
                <c:pt idx="1">
                  <c:v>-13250</c:v>
                </c:pt>
                <c:pt idx="2">
                  <c:v>-76350</c:v>
                </c:pt>
                <c:pt idx="3">
                  <c:v>-12350</c:v>
                </c:pt>
              </c:numCache>
            </c:numRef>
          </c:yVal>
          <c:smooth val="0"/>
        </c:ser>
        <c:ser>
          <c:idx val="31"/>
          <c:order val="27"/>
          <c:tx>
            <c:strRef>
              <c:f>'IF =  RF - LO'!$AF$3</c:f>
              <c:strCache>
                <c:ptCount val="1"/>
                <c:pt idx="0">
                  <c:v>3LO+RF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LO'!$AF$4:$AF$7</c:f>
              <c:numCache>
                <c:formatCode>General</c:formatCode>
                <c:ptCount val="4"/>
                <c:pt idx="0">
                  <c:v>77250</c:v>
                </c:pt>
                <c:pt idx="1">
                  <c:v>-50750</c:v>
                </c:pt>
                <c:pt idx="2">
                  <c:v>76350</c:v>
                </c:pt>
                <c:pt idx="3">
                  <c:v>-51650</c:v>
                </c:pt>
              </c:numCache>
            </c:numRef>
          </c:yVal>
          <c:smooth val="0"/>
        </c:ser>
        <c:ser>
          <c:idx val="32"/>
          <c:order val="28"/>
          <c:tx>
            <c:strRef>
              <c:f>'IF =  RF - LO'!$AG$3</c:f>
              <c:strCache>
                <c:ptCount val="1"/>
                <c:pt idx="0">
                  <c:v>3LO+2RF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LO'!$AG$4:$AG$7</c:f>
              <c:numCache>
                <c:formatCode>General</c:formatCode>
                <c:ptCount val="4"/>
                <c:pt idx="0">
                  <c:v>38625</c:v>
                </c:pt>
                <c:pt idx="1">
                  <c:v>-41375</c:v>
                </c:pt>
                <c:pt idx="2">
                  <c:v>38175</c:v>
                </c:pt>
                <c:pt idx="3">
                  <c:v>-41825</c:v>
                </c:pt>
              </c:numCache>
            </c:numRef>
          </c:yVal>
          <c:smooth val="0"/>
        </c:ser>
        <c:ser>
          <c:idx val="33"/>
          <c:order val="29"/>
          <c:tx>
            <c:strRef>
              <c:f>'IF =  RF - LO'!$AH$3</c:f>
              <c:strCache>
                <c:ptCount val="1"/>
                <c:pt idx="0">
                  <c:v>4LO-2RF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LO'!$AH$4:$AH$7</c:f>
              <c:numCache>
                <c:formatCode>General</c:formatCode>
                <c:ptCount val="4"/>
                <c:pt idx="0">
                  <c:v>-48225</c:v>
                </c:pt>
                <c:pt idx="1">
                  <c:v>-16225</c:v>
                </c:pt>
                <c:pt idx="2">
                  <c:v>-47775</c:v>
                </c:pt>
                <c:pt idx="3">
                  <c:v>-15775</c:v>
                </c:pt>
              </c:numCache>
            </c:numRef>
          </c:yVal>
          <c:smooth val="0"/>
        </c:ser>
        <c:ser>
          <c:idx val="34"/>
          <c:order val="30"/>
          <c:tx>
            <c:strRef>
              <c:f>'IF =  RF - LO'!$AI$3</c:f>
              <c:strCache>
                <c:ptCount val="1"/>
                <c:pt idx="0">
                  <c:v>4LO-RF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LO'!$AI$4:$AI$7</c:f>
              <c:numCache>
                <c:formatCode>General</c:formatCode>
                <c:ptCount val="4"/>
                <c:pt idx="0">
                  <c:v>-96450</c:v>
                </c:pt>
                <c:pt idx="1">
                  <c:v>-450</c:v>
                </c:pt>
                <c:pt idx="2">
                  <c:v>-95550</c:v>
                </c:pt>
                <c:pt idx="3">
                  <c:v>450</c:v>
                </c:pt>
              </c:numCache>
            </c:numRef>
          </c:yVal>
          <c:smooth val="0"/>
        </c:ser>
        <c:ser>
          <c:idx val="35"/>
          <c:order val="31"/>
          <c:tx>
            <c:strRef>
              <c:f>'IF =  RF - LO'!$AJ$3</c:f>
              <c:strCache>
                <c:ptCount val="1"/>
                <c:pt idx="0">
                  <c:v>4LO+RF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LO'!$AJ$4:$AJ$7</c:f>
              <c:numCache>
                <c:formatCode>General</c:formatCode>
                <c:ptCount val="4"/>
                <c:pt idx="0">
                  <c:v>96450</c:v>
                </c:pt>
                <c:pt idx="1">
                  <c:v>-63550</c:v>
                </c:pt>
                <c:pt idx="2">
                  <c:v>95550</c:v>
                </c:pt>
                <c:pt idx="3">
                  <c:v>-64450</c:v>
                </c:pt>
              </c:numCache>
            </c:numRef>
          </c:yVal>
          <c:smooth val="0"/>
        </c:ser>
        <c:ser>
          <c:idx val="36"/>
          <c:order val="32"/>
          <c:tx>
            <c:strRef>
              <c:f>'IF =  RF - LO'!$AK$3</c:f>
              <c:strCache>
                <c:ptCount val="1"/>
                <c:pt idx="0">
                  <c:v>4LO+2RF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LO'!$AK$4:$AK$7</c:f>
              <c:numCache>
                <c:formatCode>General</c:formatCode>
                <c:ptCount val="4"/>
                <c:pt idx="0">
                  <c:v>48225</c:v>
                </c:pt>
                <c:pt idx="1">
                  <c:v>-47775</c:v>
                </c:pt>
                <c:pt idx="2">
                  <c:v>47775</c:v>
                </c:pt>
                <c:pt idx="3">
                  <c:v>-48225</c:v>
                </c:pt>
              </c:numCache>
            </c:numRef>
          </c:yVal>
          <c:smooth val="0"/>
        </c:ser>
        <c:ser>
          <c:idx val="0"/>
          <c:order val="33"/>
          <c:tx>
            <c:strRef>
              <c:f>'IF =  RF - LO'!$AR$3</c:f>
              <c:strCache>
                <c:ptCount val="1"/>
                <c:pt idx="0">
                  <c:v>top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- LO'!$AQ$4:$AQ$5</c:f>
              <c:numCache>
                <c:formatCode>General</c:formatCode>
                <c:ptCount val="2"/>
                <c:pt idx="0">
                  <c:v>21650</c:v>
                </c:pt>
                <c:pt idx="1">
                  <c:v>23350</c:v>
                </c:pt>
              </c:numCache>
            </c:numRef>
          </c:xVal>
          <c:yVal>
            <c:numRef>
              <c:f>'IF =  RF - LO'!$AR$4:$AR$5</c:f>
              <c:numCache>
                <c:formatCode>General</c:formatCode>
                <c:ptCount val="2"/>
                <c:pt idx="0">
                  <c:v>1850</c:v>
                </c:pt>
                <c:pt idx="1">
                  <c:v>150</c:v>
                </c:pt>
              </c:numCache>
            </c:numRef>
          </c:yVal>
          <c:smooth val="0"/>
        </c:ser>
        <c:ser>
          <c:idx val="23"/>
          <c:order val="34"/>
          <c:tx>
            <c:strRef>
              <c:f>'IF =  RF - LO'!$AU$3</c:f>
              <c:strCache>
                <c:ptCount val="1"/>
                <c:pt idx="0">
                  <c:v>bot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- LO'!$AT$4:$AT$5</c:f>
              <c:numCache>
                <c:formatCode>General</c:formatCode>
                <c:ptCount val="2"/>
                <c:pt idx="0">
                  <c:v>21650</c:v>
                </c:pt>
                <c:pt idx="1">
                  <c:v>23350</c:v>
                </c:pt>
              </c:numCache>
            </c:numRef>
          </c:xVal>
          <c:yVal>
            <c:numRef>
              <c:f>'IF =  RF - LO'!$AU$4:$AU$5</c:f>
              <c:numCache>
                <c:formatCode>General</c:formatCode>
                <c:ptCount val="2"/>
                <c:pt idx="0">
                  <c:v>-150</c:v>
                </c:pt>
                <c:pt idx="1">
                  <c:v>-1850</c:v>
                </c:pt>
              </c:numCache>
            </c:numRef>
          </c:yVal>
          <c:smooth val="0"/>
        </c:ser>
        <c:ser>
          <c:idx val="37"/>
          <c:order val="35"/>
          <c:tx>
            <c:strRef>
              <c:f>'IF =  RF - LO'!$AX$3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- LO'!$AW$4:$AW$5</c:f>
              <c:numCache>
                <c:formatCode>General</c:formatCode>
                <c:ptCount val="2"/>
                <c:pt idx="0">
                  <c:v>21650</c:v>
                </c:pt>
                <c:pt idx="1">
                  <c:v>21650</c:v>
                </c:pt>
              </c:numCache>
            </c:numRef>
          </c:xVal>
          <c:yVal>
            <c:numRef>
              <c:f>'IF =  RF - LO'!$AX$4:$AX$5</c:f>
              <c:numCache>
                <c:formatCode>General</c:formatCode>
                <c:ptCount val="2"/>
                <c:pt idx="0">
                  <c:v>1850</c:v>
                </c:pt>
                <c:pt idx="1">
                  <c:v>-150</c:v>
                </c:pt>
              </c:numCache>
            </c:numRef>
          </c:yVal>
          <c:smooth val="0"/>
        </c:ser>
        <c:ser>
          <c:idx val="38"/>
          <c:order val="36"/>
          <c:tx>
            <c:strRef>
              <c:f>'IF =  RF - LO'!$BA$3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- LO'!$AZ$4:$AZ$5</c:f>
              <c:numCache>
                <c:formatCode>General</c:formatCode>
                <c:ptCount val="2"/>
                <c:pt idx="0">
                  <c:v>23350</c:v>
                </c:pt>
                <c:pt idx="1">
                  <c:v>23350</c:v>
                </c:pt>
              </c:numCache>
            </c:numRef>
          </c:xVal>
          <c:yVal>
            <c:numRef>
              <c:f>'IF =  RF - LO'!$BA$4:$BA$5</c:f>
              <c:numCache>
                <c:formatCode>General</c:formatCode>
                <c:ptCount val="2"/>
                <c:pt idx="0">
                  <c:v>-1850</c:v>
                </c:pt>
                <c:pt idx="1">
                  <c:v>150</c:v>
                </c:pt>
              </c:numCache>
            </c:numRef>
          </c:yVal>
          <c:smooth val="0"/>
        </c:ser>
        <c:ser>
          <c:idx val="15"/>
          <c:order val="37"/>
          <c:tx>
            <c:strRef>
              <c:f>'IF =  RF - LO'!$X$3</c:f>
              <c:strCache>
                <c:ptCount val="1"/>
                <c:pt idx="0">
                  <c:v>LO+RF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LO'!$X$4:$X$7</c:f>
              <c:numCache>
                <c:formatCode>General</c:formatCode>
                <c:ptCount val="4"/>
                <c:pt idx="0">
                  <c:v>38850</c:v>
                </c:pt>
                <c:pt idx="1">
                  <c:v>-25150</c:v>
                </c:pt>
                <c:pt idx="2">
                  <c:v>37950</c:v>
                </c:pt>
                <c:pt idx="3">
                  <c:v>-26050</c:v>
                </c:pt>
              </c:numCache>
            </c:numRef>
          </c:yVal>
          <c:smooth val="0"/>
        </c:ser>
        <c:ser>
          <c:idx val="39"/>
          <c:order val="38"/>
          <c:tx>
            <c:strRef>
              <c:f>'IF =  RF - LO'!$AL$3</c:f>
              <c:strCache>
                <c:ptCount val="1"/>
                <c:pt idx="0">
                  <c:v>LO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LO'!$AL$4:$AL$7</c:f>
              <c:numCache>
                <c:formatCode>General</c:formatCode>
                <c:ptCount val="4"/>
                <c:pt idx="0">
                  <c:v>-38850</c:v>
                </c:pt>
                <c:pt idx="1">
                  <c:v>-6850</c:v>
                </c:pt>
                <c:pt idx="2">
                  <c:v>-37950</c:v>
                </c:pt>
                <c:pt idx="3">
                  <c:v>-5950</c:v>
                </c:pt>
              </c:numCache>
            </c:numRef>
          </c:yVal>
          <c:smooth val="0"/>
        </c:ser>
        <c:ser>
          <c:idx val="40"/>
          <c:order val="39"/>
          <c:tx>
            <c:strRef>
              <c:f>'IF =  RF - LO'!$AM$3</c:f>
              <c:strCache>
                <c:ptCount val="1"/>
                <c:pt idx="0">
                  <c:v>2LO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LO'!$AM$4:$AM$7</c:f>
              <c:numCache>
                <c:formatCode>General</c:formatCode>
                <c:ptCount val="4"/>
                <c:pt idx="0">
                  <c:v>-58050</c:v>
                </c:pt>
                <c:pt idx="1">
                  <c:v>5950</c:v>
                </c:pt>
                <c:pt idx="2">
                  <c:v>-57150</c:v>
                </c:pt>
                <c:pt idx="3">
                  <c:v>6850</c:v>
                </c:pt>
              </c:numCache>
            </c:numRef>
          </c:yVal>
          <c:smooth val="0"/>
        </c:ser>
        <c:ser>
          <c:idx val="41"/>
          <c:order val="40"/>
          <c:tx>
            <c:strRef>
              <c:f>'IF =  RF - LO'!$AN$3</c:f>
              <c:strCache>
                <c:ptCount val="1"/>
                <c:pt idx="0">
                  <c:v>3LO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LO'!$AN$4:$AN$7</c:f>
              <c:numCache>
                <c:formatCode>General</c:formatCode>
                <c:ptCount val="4"/>
                <c:pt idx="0">
                  <c:v>-77250</c:v>
                </c:pt>
                <c:pt idx="1">
                  <c:v>18750</c:v>
                </c:pt>
                <c:pt idx="2">
                  <c:v>-76350</c:v>
                </c:pt>
                <c:pt idx="3">
                  <c:v>19650</c:v>
                </c:pt>
              </c:numCache>
            </c:numRef>
          </c:yVal>
          <c:smooth val="0"/>
        </c:ser>
        <c:ser>
          <c:idx val="42"/>
          <c:order val="41"/>
          <c:tx>
            <c:strRef>
              <c:f>'IF =  RF - LO'!$AO$3</c:f>
              <c:strCache>
                <c:ptCount val="1"/>
                <c:pt idx="0">
                  <c:v>4LO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LO'!$AO$4:$AO$7</c:f>
              <c:numCache>
                <c:formatCode>General</c:formatCode>
                <c:ptCount val="4"/>
                <c:pt idx="0">
                  <c:v>-96450</c:v>
                </c:pt>
                <c:pt idx="1">
                  <c:v>31550</c:v>
                </c:pt>
                <c:pt idx="2">
                  <c:v>-95550</c:v>
                </c:pt>
                <c:pt idx="3">
                  <c:v>32450</c:v>
                </c:pt>
              </c:numCache>
            </c:numRef>
          </c:yVal>
          <c:smooth val="0"/>
        </c:ser>
        <c:ser>
          <c:idx val="43"/>
          <c:order val="42"/>
          <c:tx>
            <c:strRef>
              <c:f>'IF =  RF - LO'!$BC$2:$BD$2</c:f>
              <c:strCache>
                <c:ptCount val="1"/>
                <c:pt idx="0">
                  <c:v>IF line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- LO'!$BC$4:$BC$5</c:f>
              <c:numCache>
                <c:formatCode>General</c:formatCode>
                <c:ptCount val="2"/>
                <c:pt idx="0">
                  <c:v>19200</c:v>
                </c:pt>
                <c:pt idx="1">
                  <c:v>19200</c:v>
                </c:pt>
              </c:numCache>
            </c:numRef>
          </c:xVal>
          <c:yVal>
            <c:numRef>
              <c:f>'IF =  RF - LO'!$BD$4:$BD$5</c:f>
              <c:numCache>
                <c:formatCode>General</c:formatCode>
                <c:ptCount val="2"/>
                <c:pt idx="0">
                  <c:v>-32000</c:v>
                </c:pt>
                <c:pt idx="1">
                  <c:v>32000</c:v>
                </c:pt>
              </c:numCache>
            </c:numRef>
          </c:yVal>
          <c:smooth val="0"/>
        </c:ser>
        <c:ser>
          <c:idx val="22"/>
          <c:order val="43"/>
          <c:tx>
            <c:strRef>
              <c:f>'IF =  RF - LO'!$W$3</c:f>
              <c:strCache>
                <c:ptCount val="1"/>
                <c:pt idx="0">
                  <c:v>LO-RF (IMF)</c:v>
                </c:pt>
              </c:strCache>
            </c:strRef>
          </c:tx>
          <c:marker>
            <c:symbol val="none"/>
          </c:marker>
          <c:xVal>
            <c:numRef>
              <c:f>'IF =  RF -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- LO'!$W$4:$W$7</c:f>
              <c:numCache>
                <c:formatCode>General</c:formatCode>
                <c:ptCount val="4"/>
                <c:pt idx="0">
                  <c:v>-38850</c:v>
                </c:pt>
                <c:pt idx="1">
                  <c:v>-38850</c:v>
                </c:pt>
                <c:pt idx="2">
                  <c:v>-37950</c:v>
                </c:pt>
                <c:pt idx="3">
                  <c:v>-37950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60856"/>
        <c:axId val="214608680"/>
      </c:scatterChart>
      <c:valAx>
        <c:axId val="213660856"/>
        <c:scaling>
          <c:orientation val="minMax"/>
          <c:max val="32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08680"/>
        <c:crosses val="autoZero"/>
        <c:crossBetween val="midCat"/>
        <c:majorUnit val="3200"/>
        <c:minorUnit val="64"/>
      </c:valAx>
      <c:valAx>
        <c:axId val="214608680"/>
        <c:scaling>
          <c:orientation val="minMax"/>
          <c:max val="10000"/>
          <c:min val="-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660856"/>
        <c:crosses val="autoZero"/>
        <c:crossBetween val="midCat"/>
        <c:majorUnit val="20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IF = RF + LO</a:t>
            </a:r>
          </a:p>
        </c:rich>
      </c:tx>
      <c:layout>
        <c:manualLayout>
          <c:xMode val="edge"/>
          <c:yMode val="edge"/>
          <c:x val="0.45391497519698115"/>
          <c:y val="3.05676855895196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411329969401424E-2"/>
          <c:y val="0.10262008733624464"/>
          <c:w val="0.89891024670071251"/>
          <c:h val="0.84061135371179063"/>
        </c:manualLayout>
      </c:layout>
      <c:scatterChart>
        <c:scatterStyle val="lineMarker"/>
        <c:varyColors val="0"/>
        <c:ser>
          <c:idx val="1"/>
          <c:order val="0"/>
          <c:tx>
            <c:strRef>
              <c:f>'IF =  RF + LO'!$B$3</c:f>
              <c:strCache>
                <c:ptCount val="1"/>
                <c:pt idx="0">
                  <c:v>4LO+2RF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LO'!$B$4:$B$7</c:f>
              <c:numCache>
                <c:formatCode>General</c:formatCode>
                <c:ptCount val="4"/>
                <c:pt idx="0">
                  <c:v>-50225</c:v>
                </c:pt>
                <c:pt idx="1">
                  <c:v>-18225</c:v>
                </c:pt>
                <c:pt idx="2">
                  <c:v>-49775</c:v>
                </c:pt>
                <c:pt idx="3">
                  <c:v>-17775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'IF =  RF + LO'!$C$3</c:f>
              <c:strCache>
                <c:ptCount val="1"/>
                <c:pt idx="0">
                  <c:v>4LO+RF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LO'!$C$4:$C$7</c:f>
              <c:numCache>
                <c:formatCode>General</c:formatCode>
                <c:ptCount val="4"/>
                <c:pt idx="0">
                  <c:v>-100450</c:v>
                </c:pt>
                <c:pt idx="1">
                  <c:v>-4450</c:v>
                </c:pt>
                <c:pt idx="2">
                  <c:v>-99550</c:v>
                </c:pt>
                <c:pt idx="3">
                  <c:v>-3550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'IF =  RF + LO'!$D$3</c:f>
              <c:strCache>
                <c:ptCount val="1"/>
                <c:pt idx="0">
                  <c:v>RF-4LO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LO'!$D$4:$D$7</c:f>
              <c:numCache>
                <c:formatCode>General</c:formatCode>
                <c:ptCount val="4"/>
                <c:pt idx="0">
                  <c:v>100450</c:v>
                </c:pt>
                <c:pt idx="1">
                  <c:v>-59550</c:v>
                </c:pt>
                <c:pt idx="2">
                  <c:v>99550</c:v>
                </c:pt>
                <c:pt idx="3">
                  <c:v>-60450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'IF =  RF + LO'!$E$3</c:f>
              <c:strCache>
                <c:ptCount val="1"/>
                <c:pt idx="0">
                  <c:v>2RF-4LO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LO'!$E$4:$E$7</c:f>
              <c:numCache>
                <c:formatCode>General</c:formatCode>
                <c:ptCount val="4"/>
                <c:pt idx="0">
                  <c:v>50225</c:v>
                </c:pt>
                <c:pt idx="1">
                  <c:v>-45775</c:v>
                </c:pt>
                <c:pt idx="2">
                  <c:v>49775</c:v>
                </c:pt>
                <c:pt idx="3">
                  <c:v>-46225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'IF =  RF + LO'!$F$3</c:f>
              <c:strCache>
                <c:ptCount val="1"/>
                <c:pt idx="0">
                  <c:v>3LO+2RF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LO'!$F$4:$F$7</c:f>
              <c:numCache>
                <c:formatCode>General</c:formatCode>
                <c:ptCount val="4"/>
                <c:pt idx="0">
                  <c:v>-40225</c:v>
                </c:pt>
                <c:pt idx="1">
                  <c:v>-24225</c:v>
                </c:pt>
                <c:pt idx="2">
                  <c:v>-39775</c:v>
                </c:pt>
                <c:pt idx="3">
                  <c:v>-23775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'IF =  RF + LO'!$G$3</c:f>
              <c:strCache>
                <c:ptCount val="1"/>
                <c:pt idx="0">
                  <c:v>3LO+RF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LO'!$G$4:$G$7</c:f>
              <c:numCache>
                <c:formatCode>General</c:formatCode>
                <c:ptCount val="4"/>
                <c:pt idx="0">
                  <c:v>-80450</c:v>
                </c:pt>
                <c:pt idx="1">
                  <c:v>-16450</c:v>
                </c:pt>
                <c:pt idx="2">
                  <c:v>-79550</c:v>
                </c:pt>
                <c:pt idx="3">
                  <c:v>-15550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'IF =  RF + LO'!$H$3</c:f>
              <c:strCache>
                <c:ptCount val="1"/>
                <c:pt idx="0">
                  <c:v>RF-3LO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LO'!$H$4:$H$7</c:f>
              <c:numCache>
                <c:formatCode>General</c:formatCode>
                <c:ptCount val="4"/>
                <c:pt idx="0">
                  <c:v>80450</c:v>
                </c:pt>
                <c:pt idx="1">
                  <c:v>-47550</c:v>
                </c:pt>
                <c:pt idx="2">
                  <c:v>79550</c:v>
                </c:pt>
                <c:pt idx="3">
                  <c:v>-48450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'IF =  RF + LO'!$I$3</c:f>
              <c:strCache>
                <c:ptCount val="1"/>
                <c:pt idx="0">
                  <c:v>2RF-3LO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LO'!$I$4:$I$7</c:f>
              <c:numCache>
                <c:formatCode>General</c:formatCode>
                <c:ptCount val="4"/>
                <c:pt idx="0">
                  <c:v>40225</c:v>
                </c:pt>
                <c:pt idx="1">
                  <c:v>-39775</c:v>
                </c:pt>
                <c:pt idx="2">
                  <c:v>39775</c:v>
                </c:pt>
                <c:pt idx="3">
                  <c:v>-40225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'IF =  RF + LO'!$J$3</c:f>
              <c:strCache>
                <c:ptCount val="1"/>
                <c:pt idx="0">
                  <c:v>2LO+2RF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LO'!$J$4:$J$7</c:f>
              <c:numCache>
                <c:formatCode>General</c:formatCode>
                <c:ptCount val="4"/>
                <c:pt idx="0">
                  <c:v>-30225</c:v>
                </c:pt>
                <c:pt idx="1">
                  <c:v>-30225</c:v>
                </c:pt>
                <c:pt idx="2">
                  <c:v>-29775</c:v>
                </c:pt>
                <c:pt idx="3">
                  <c:v>-29775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'IF =  RF + LO'!$K$3</c:f>
              <c:strCache>
                <c:ptCount val="1"/>
                <c:pt idx="0">
                  <c:v>2LO+RF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LO'!$K$4:$K$7</c:f>
              <c:numCache>
                <c:formatCode>General</c:formatCode>
                <c:ptCount val="4"/>
                <c:pt idx="0">
                  <c:v>-60450</c:v>
                </c:pt>
                <c:pt idx="1">
                  <c:v>-28450</c:v>
                </c:pt>
                <c:pt idx="2">
                  <c:v>-59550</c:v>
                </c:pt>
                <c:pt idx="3">
                  <c:v>-27550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'IF =  RF + LO'!$L$3</c:f>
              <c:strCache>
                <c:ptCount val="1"/>
                <c:pt idx="0">
                  <c:v>RF-2LO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LO'!$L$4:$L$7</c:f>
              <c:numCache>
                <c:formatCode>General</c:formatCode>
                <c:ptCount val="4"/>
                <c:pt idx="0">
                  <c:v>60450</c:v>
                </c:pt>
                <c:pt idx="1">
                  <c:v>-35550</c:v>
                </c:pt>
                <c:pt idx="2">
                  <c:v>59550</c:v>
                </c:pt>
                <c:pt idx="3">
                  <c:v>-36450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'IF =  RF + LO'!$M$3</c:f>
              <c:strCache>
                <c:ptCount val="1"/>
                <c:pt idx="0">
                  <c:v>2RF-2LO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LO'!$M$4:$M$7</c:f>
              <c:numCache>
                <c:formatCode>General</c:formatCode>
                <c:ptCount val="4"/>
                <c:pt idx="0">
                  <c:v>30225</c:v>
                </c:pt>
                <c:pt idx="1">
                  <c:v>-33775</c:v>
                </c:pt>
                <c:pt idx="2">
                  <c:v>29775</c:v>
                </c:pt>
                <c:pt idx="3">
                  <c:v>-34225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'IF =  RF + LO'!$N$3</c:f>
              <c:strCache>
                <c:ptCount val="1"/>
                <c:pt idx="0">
                  <c:v>LO+2RF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LO'!$N$4:$N$7</c:f>
              <c:numCache>
                <c:formatCode>General</c:formatCode>
                <c:ptCount val="4"/>
                <c:pt idx="0">
                  <c:v>-20225</c:v>
                </c:pt>
                <c:pt idx="1">
                  <c:v>-36225</c:v>
                </c:pt>
                <c:pt idx="2">
                  <c:v>-19775</c:v>
                </c:pt>
                <c:pt idx="3">
                  <c:v>-35775</c:v>
                </c:pt>
              </c:numCache>
            </c:numRef>
          </c:yVal>
          <c:smooth val="0"/>
        </c:ser>
        <c:ser>
          <c:idx val="16"/>
          <c:order val="13"/>
          <c:tx>
            <c:strRef>
              <c:f>'IF =  RF + LO'!$Q$3</c:f>
              <c:strCache>
                <c:ptCount val="1"/>
                <c:pt idx="0">
                  <c:v>2RF-LO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LO'!$Q$4:$Q$7</c:f>
              <c:numCache>
                <c:formatCode>General</c:formatCode>
                <c:ptCount val="4"/>
                <c:pt idx="0">
                  <c:v>20225</c:v>
                </c:pt>
                <c:pt idx="1">
                  <c:v>-27775</c:v>
                </c:pt>
                <c:pt idx="2">
                  <c:v>19775</c:v>
                </c:pt>
                <c:pt idx="3">
                  <c:v>-28225</c:v>
                </c:pt>
              </c:numCache>
            </c:numRef>
          </c:yVal>
          <c:smooth val="0"/>
        </c:ser>
        <c:ser>
          <c:idx val="17"/>
          <c:order val="14"/>
          <c:tx>
            <c:strRef>
              <c:f>'IF =  RF + LO'!$R$3</c:f>
              <c:strCache>
                <c:ptCount val="1"/>
                <c:pt idx="0">
                  <c:v>2RF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LO'!$R$4:$R$7</c:f>
              <c:numCache>
                <c:formatCode>General</c:formatCode>
                <c:ptCount val="4"/>
                <c:pt idx="0">
                  <c:v>-10225</c:v>
                </c:pt>
                <c:pt idx="1">
                  <c:v>-42225</c:v>
                </c:pt>
                <c:pt idx="2">
                  <c:v>-9775</c:v>
                </c:pt>
                <c:pt idx="3">
                  <c:v>-41775</c:v>
                </c:pt>
              </c:numCache>
            </c:numRef>
          </c:yVal>
          <c:smooth val="0"/>
        </c:ser>
        <c:ser>
          <c:idx val="18"/>
          <c:order val="15"/>
          <c:tx>
            <c:strRef>
              <c:f>'IF =  RF + LO'!$S$3</c:f>
              <c:strCache>
                <c:ptCount val="1"/>
                <c:pt idx="0">
                  <c:v>RF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LO'!$S$4:$S$7</c:f>
              <c:numCache>
                <c:formatCode>General</c:formatCode>
                <c:ptCount val="4"/>
                <c:pt idx="0">
                  <c:v>-20450</c:v>
                </c:pt>
                <c:pt idx="1">
                  <c:v>-52450</c:v>
                </c:pt>
                <c:pt idx="2">
                  <c:v>-19550</c:v>
                </c:pt>
                <c:pt idx="3">
                  <c:v>-51550</c:v>
                </c:pt>
              </c:numCache>
            </c:numRef>
          </c:yVal>
          <c:smooth val="0"/>
        </c:ser>
        <c:ser>
          <c:idx val="19"/>
          <c:order val="16"/>
          <c:tx>
            <c:strRef>
              <c:f>'IF =  RF + LO'!$T$3</c:f>
              <c:strCache>
                <c:ptCount val="1"/>
                <c:pt idx="0">
                  <c:v>RF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LO'!$T$4:$T$7</c:f>
              <c:numCache>
                <c:formatCode>General</c:formatCode>
                <c:ptCount val="4"/>
                <c:pt idx="0">
                  <c:v>20450</c:v>
                </c:pt>
                <c:pt idx="1">
                  <c:v>-11550</c:v>
                </c:pt>
                <c:pt idx="2">
                  <c:v>19550</c:v>
                </c:pt>
                <c:pt idx="3">
                  <c:v>-12450</c:v>
                </c:pt>
              </c:numCache>
            </c:numRef>
          </c:yVal>
          <c:smooth val="0"/>
        </c:ser>
        <c:ser>
          <c:idx val="20"/>
          <c:order val="17"/>
          <c:tx>
            <c:strRef>
              <c:f>'IF =  RF + LO'!$U$3</c:f>
              <c:strCache>
                <c:ptCount val="1"/>
                <c:pt idx="0">
                  <c:v>2RF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LO'!$U$4:$U$7</c:f>
              <c:numCache>
                <c:formatCode>General</c:formatCode>
                <c:ptCount val="4"/>
                <c:pt idx="0">
                  <c:v>10225</c:v>
                </c:pt>
                <c:pt idx="1">
                  <c:v>-21775</c:v>
                </c:pt>
                <c:pt idx="2">
                  <c:v>9775</c:v>
                </c:pt>
                <c:pt idx="3">
                  <c:v>-22225</c:v>
                </c:pt>
              </c:numCache>
            </c:numRef>
          </c:yVal>
          <c:smooth val="0"/>
        </c:ser>
        <c:ser>
          <c:idx val="21"/>
          <c:order val="18"/>
          <c:tx>
            <c:strRef>
              <c:f>'IF =  RF + LO'!$V$3</c:f>
              <c:strCache>
                <c:ptCount val="1"/>
                <c:pt idx="0">
                  <c:v>LO-2RF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LO'!$V$4:$V$7</c:f>
              <c:numCache>
                <c:formatCode>General</c:formatCode>
                <c:ptCount val="4"/>
                <c:pt idx="0">
                  <c:v>-225</c:v>
                </c:pt>
                <c:pt idx="1">
                  <c:v>-48225</c:v>
                </c:pt>
                <c:pt idx="2">
                  <c:v>225</c:v>
                </c:pt>
                <c:pt idx="3">
                  <c:v>-47775</c:v>
                </c:pt>
              </c:numCache>
            </c:numRef>
          </c:yVal>
          <c:smooth val="0"/>
        </c:ser>
        <c:ser>
          <c:idx val="24"/>
          <c:order val="19"/>
          <c:tx>
            <c:strRef>
              <c:f>'IF =  RF + LO'!$Y$3</c:f>
              <c:strCache>
                <c:ptCount val="1"/>
                <c:pt idx="0">
                  <c:v>LO+2RF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LO'!$Y$4:$Y$7</c:f>
              <c:numCache>
                <c:formatCode>General</c:formatCode>
                <c:ptCount val="4"/>
                <c:pt idx="0">
                  <c:v>225</c:v>
                </c:pt>
                <c:pt idx="1">
                  <c:v>-15775</c:v>
                </c:pt>
                <c:pt idx="2">
                  <c:v>-225</c:v>
                </c:pt>
                <c:pt idx="3">
                  <c:v>-16225</c:v>
                </c:pt>
              </c:numCache>
            </c:numRef>
          </c:yVal>
          <c:smooth val="0"/>
        </c:ser>
        <c:ser>
          <c:idx val="25"/>
          <c:order val="20"/>
          <c:tx>
            <c:strRef>
              <c:f>'IF =  RF + LO'!$Z$3</c:f>
              <c:strCache>
                <c:ptCount val="1"/>
                <c:pt idx="0">
                  <c:v>2LO-2RF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LO'!$Z$4:$Z$7</c:f>
              <c:numCache>
                <c:formatCode>General</c:formatCode>
                <c:ptCount val="4"/>
                <c:pt idx="0">
                  <c:v>9775</c:v>
                </c:pt>
                <c:pt idx="1">
                  <c:v>-54225</c:v>
                </c:pt>
                <c:pt idx="2">
                  <c:v>10225</c:v>
                </c:pt>
                <c:pt idx="3">
                  <c:v>-53775</c:v>
                </c:pt>
              </c:numCache>
            </c:numRef>
          </c:yVal>
          <c:smooth val="0"/>
        </c:ser>
        <c:ser>
          <c:idx val="26"/>
          <c:order val="21"/>
          <c:tx>
            <c:strRef>
              <c:f>'IF =  RF + LO'!$AA$3</c:f>
              <c:strCache>
                <c:ptCount val="1"/>
                <c:pt idx="0">
                  <c:v>2LO-RF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LO'!$AA$4:$AA$7</c:f>
              <c:numCache>
                <c:formatCode>General</c:formatCode>
                <c:ptCount val="4"/>
                <c:pt idx="0">
                  <c:v>19550</c:v>
                </c:pt>
                <c:pt idx="1">
                  <c:v>-76450</c:v>
                </c:pt>
                <c:pt idx="2">
                  <c:v>20450</c:v>
                </c:pt>
                <c:pt idx="3">
                  <c:v>-75550</c:v>
                </c:pt>
              </c:numCache>
            </c:numRef>
          </c:yVal>
          <c:smooth val="0"/>
        </c:ser>
        <c:ser>
          <c:idx val="27"/>
          <c:order val="22"/>
          <c:tx>
            <c:strRef>
              <c:f>'IF =  RF + LO'!$AB$3</c:f>
              <c:strCache>
                <c:ptCount val="1"/>
                <c:pt idx="0">
                  <c:v>2LO+RF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LO'!$AB$4:$AB$7</c:f>
              <c:numCache>
                <c:formatCode>General</c:formatCode>
                <c:ptCount val="4"/>
                <c:pt idx="0">
                  <c:v>-19550</c:v>
                </c:pt>
                <c:pt idx="1">
                  <c:v>12450</c:v>
                </c:pt>
                <c:pt idx="2">
                  <c:v>-20450</c:v>
                </c:pt>
                <c:pt idx="3">
                  <c:v>11550</c:v>
                </c:pt>
              </c:numCache>
            </c:numRef>
          </c:yVal>
          <c:smooth val="0"/>
        </c:ser>
        <c:ser>
          <c:idx val="28"/>
          <c:order val="23"/>
          <c:tx>
            <c:strRef>
              <c:f>'IF =  RF + LO'!$AC$3</c:f>
              <c:strCache>
                <c:ptCount val="1"/>
                <c:pt idx="0">
                  <c:v>2LO+2RF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LO'!$AC$4:$AC$7</c:f>
              <c:numCache>
                <c:formatCode>General</c:formatCode>
                <c:ptCount val="4"/>
                <c:pt idx="0">
                  <c:v>-9775</c:v>
                </c:pt>
                <c:pt idx="1">
                  <c:v>-9775</c:v>
                </c:pt>
                <c:pt idx="2">
                  <c:v>-10225</c:v>
                </c:pt>
                <c:pt idx="3">
                  <c:v>-10225</c:v>
                </c:pt>
              </c:numCache>
            </c:numRef>
          </c:yVal>
          <c:smooth val="0"/>
        </c:ser>
        <c:ser>
          <c:idx val="29"/>
          <c:order val="24"/>
          <c:tx>
            <c:strRef>
              <c:f>'IF =  RF + LO'!$AD$3</c:f>
              <c:strCache>
                <c:ptCount val="1"/>
                <c:pt idx="0">
                  <c:v>3LO-2RF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LO'!$AD$4:$AD$7</c:f>
              <c:numCache>
                <c:formatCode>General</c:formatCode>
                <c:ptCount val="4"/>
                <c:pt idx="0">
                  <c:v>19775</c:v>
                </c:pt>
                <c:pt idx="1">
                  <c:v>-60225</c:v>
                </c:pt>
                <c:pt idx="2">
                  <c:v>20225</c:v>
                </c:pt>
                <c:pt idx="3">
                  <c:v>-59775</c:v>
                </c:pt>
              </c:numCache>
            </c:numRef>
          </c:yVal>
          <c:smooth val="0"/>
        </c:ser>
        <c:ser>
          <c:idx val="30"/>
          <c:order val="25"/>
          <c:tx>
            <c:strRef>
              <c:f>'IF =  RF + LO'!$AE$3</c:f>
              <c:strCache>
                <c:ptCount val="1"/>
                <c:pt idx="0">
                  <c:v>3LO-RF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LO'!$AE$4:$AE$7</c:f>
              <c:numCache>
                <c:formatCode>General</c:formatCode>
                <c:ptCount val="4"/>
                <c:pt idx="0">
                  <c:v>39550</c:v>
                </c:pt>
                <c:pt idx="1">
                  <c:v>-88450</c:v>
                </c:pt>
                <c:pt idx="2">
                  <c:v>40450</c:v>
                </c:pt>
                <c:pt idx="3">
                  <c:v>-87550</c:v>
                </c:pt>
              </c:numCache>
            </c:numRef>
          </c:yVal>
          <c:smooth val="0"/>
        </c:ser>
        <c:ser>
          <c:idx val="31"/>
          <c:order val="26"/>
          <c:tx>
            <c:strRef>
              <c:f>'IF =  RF + LO'!$AF$3</c:f>
              <c:strCache>
                <c:ptCount val="1"/>
                <c:pt idx="0">
                  <c:v>3LO+RF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LO'!$AF$4:$AF$7</c:f>
              <c:numCache>
                <c:formatCode>General</c:formatCode>
                <c:ptCount val="4"/>
                <c:pt idx="0">
                  <c:v>-39550</c:v>
                </c:pt>
                <c:pt idx="1">
                  <c:v>24450</c:v>
                </c:pt>
                <c:pt idx="2">
                  <c:v>-40450</c:v>
                </c:pt>
                <c:pt idx="3">
                  <c:v>23550</c:v>
                </c:pt>
              </c:numCache>
            </c:numRef>
          </c:yVal>
          <c:smooth val="0"/>
        </c:ser>
        <c:ser>
          <c:idx val="32"/>
          <c:order val="27"/>
          <c:tx>
            <c:strRef>
              <c:f>'IF =  RF + LO'!$AG$3</c:f>
              <c:strCache>
                <c:ptCount val="1"/>
                <c:pt idx="0">
                  <c:v>3LO+2RF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LO'!$AG$4:$AG$7</c:f>
              <c:numCache>
                <c:formatCode>General</c:formatCode>
                <c:ptCount val="4"/>
                <c:pt idx="0">
                  <c:v>-19775</c:v>
                </c:pt>
                <c:pt idx="1">
                  <c:v>-3775</c:v>
                </c:pt>
                <c:pt idx="2">
                  <c:v>-20225</c:v>
                </c:pt>
                <c:pt idx="3">
                  <c:v>-4225</c:v>
                </c:pt>
              </c:numCache>
            </c:numRef>
          </c:yVal>
          <c:smooth val="0"/>
        </c:ser>
        <c:ser>
          <c:idx val="33"/>
          <c:order val="28"/>
          <c:tx>
            <c:strRef>
              <c:f>'IF =  RF + LO'!$AH$3</c:f>
              <c:strCache>
                <c:ptCount val="1"/>
                <c:pt idx="0">
                  <c:v>4LO-2RF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LO'!$AH$4:$AH$7</c:f>
              <c:numCache>
                <c:formatCode>General</c:formatCode>
                <c:ptCount val="4"/>
                <c:pt idx="0">
                  <c:v>29775</c:v>
                </c:pt>
                <c:pt idx="1">
                  <c:v>-66225</c:v>
                </c:pt>
                <c:pt idx="2">
                  <c:v>30225</c:v>
                </c:pt>
                <c:pt idx="3">
                  <c:v>-65775</c:v>
                </c:pt>
              </c:numCache>
            </c:numRef>
          </c:yVal>
          <c:smooth val="0"/>
        </c:ser>
        <c:ser>
          <c:idx val="34"/>
          <c:order val="29"/>
          <c:tx>
            <c:strRef>
              <c:f>'IF =  RF + LO'!$AI$3</c:f>
              <c:strCache>
                <c:ptCount val="1"/>
                <c:pt idx="0">
                  <c:v>4LO-RF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LO'!$AI$4:$AI$7</c:f>
              <c:numCache>
                <c:formatCode>General</c:formatCode>
                <c:ptCount val="4"/>
                <c:pt idx="0">
                  <c:v>59550</c:v>
                </c:pt>
                <c:pt idx="1">
                  <c:v>-100450</c:v>
                </c:pt>
                <c:pt idx="2">
                  <c:v>60450</c:v>
                </c:pt>
                <c:pt idx="3">
                  <c:v>-99550</c:v>
                </c:pt>
              </c:numCache>
            </c:numRef>
          </c:yVal>
          <c:smooth val="0"/>
        </c:ser>
        <c:ser>
          <c:idx val="35"/>
          <c:order val="30"/>
          <c:tx>
            <c:strRef>
              <c:f>'IF =  RF + LO'!$AJ$3</c:f>
              <c:strCache>
                <c:ptCount val="1"/>
                <c:pt idx="0">
                  <c:v>4LO+RF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LO'!$AJ$4:$AJ$7</c:f>
              <c:numCache>
                <c:formatCode>General</c:formatCode>
                <c:ptCount val="4"/>
                <c:pt idx="0">
                  <c:v>-59550</c:v>
                </c:pt>
                <c:pt idx="1">
                  <c:v>36450</c:v>
                </c:pt>
                <c:pt idx="2">
                  <c:v>-60450</c:v>
                </c:pt>
                <c:pt idx="3">
                  <c:v>35550</c:v>
                </c:pt>
              </c:numCache>
            </c:numRef>
          </c:yVal>
          <c:smooth val="0"/>
        </c:ser>
        <c:ser>
          <c:idx val="36"/>
          <c:order val="31"/>
          <c:tx>
            <c:strRef>
              <c:f>'IF =  RF + LO'!$AK$3</c:f>
              <c:strCache>
                <c:ptCount val="1"/>
                <c:pt idx="0">
                  <c:v>4LO+2RF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LO'!$AK$4:$AK$7</c:f>
              <c:numCache>
                <c:formatCode>General</c:formatCode>
                <c:ptCount val="4"/>
                <c:pt idx="0">
                  <c:v>-29775</c:v>
                </c:pt>
                <c:pt idx="1">
                  <c:v>2225</c:v>
                </c:pt>
                <c:pt idx="2">
                  <c:v>-30225</c:v>
                </c:pt>
                <c:pt idx="3">
                  <c:v>1775</c:v>
                </c:pt>
              </c:numCache>
            </c:numRef>
          </c:yVal>
          <c:smooth val="0"/>
        </c:ser>
        <c:ser>
          <c:idx val="0"/>
          <c:order val="32"/>
          <c:tx>
            <c:strRef>
              <c:f>'IF =  RF + LO'!$AR$3</c:f>
              <c:strCache>
                <c:ptCount val="1"/>
                <c:pt idx="0">
                  <c:v>top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+ LO'!$AQ$4:$AQ$5</c:f>
              <c:numCache>
                <c:formatCode>General</c:formatCode>
                <c:ptCount val="2"/>
                <c:pt idx="0">
                  <c:v>2850</c:v>
                </c:pt>
                <c:pt idx="1">
                  <c:v>4850</c:v>
                </c:pt>
              </c:numCache>
            </c:numRef>
          </c:xVal>
          <c:yVal>
            <c:numRef>
              <c:f>'IF =  RF + LO'!$AR$4:$AR$5</c:f>
              <c:numCache>
                <c:formatCode>General</c:formatCode>
                <c:ptCount val="2"/>
                <c:pt idx="0">
                  <c:v>2150</c:v>
                </c:pt>
                <c:pt idx="1">
                  <c:v>150</c:v>
                </c:pt>
              </c:numCache>
            </c:numRef>
          </c:yVal>
          <c:smooth val="0"/>
        </c:ser>
        <c:ser>
          <c:idx val="23"/>
          <c:order val="33"/>
          <c:tx>
            <c:strRef>
              <c:f>'IF =  RF + LO'!$AU$3</c:f>
              <c:strCache>
                <c:ptCount val="1"/>
                <c:pt idx="0">
                  <c:v>bot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+ LO'!$AT$4:$AT$5</c:f>
              <c:numCache>
                <c:formatCode>General</c:formatCode>
                <c:ptCount val="2"/>
                <c:pt idx="0">
                  <c:v>2850</c:v>
                </c:pt>
                <c:pt idx="1">
                  <c:v>4850</c:v>
                </c:pt>
              </c:numCache>
            </c:numRef>
          </c:xVal>
          <c:yVal>
            <c:numRef>
              <c:f>'IF =  RF + LO'!$AU$4:$AU$5</c:f>
              <c:numCache>
                <c:formatCode>General</c:formatCode>
                <c:ptCount val="2"/>
                <c:pt idx="0">
                  <c:v>-150</c:v>
                </c:pt>
                <c:pt idx="1">
                  <c:v>-2150</c:v>
                </c:pt>
              </c:numCache>
            </c:numRef>
          </c:yVal>
          <c:smooth val="0"/>
        </c:ser>
        <c:ser>
          <c:idx val="37"/>
          <c:order val="34"/>
          <c:tx>
            <c:strRef>
              <c:f>'IF =  RF + LO'!$AX$3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+ LO'!$AW$4:$AW$5</c:f>
              <c:numCache>
                <c:formatCode>General</c:formatCode>
                <c:ptCount val="2"/>
                <c:pt idx="0">
                  <c:v>2850</c:v>
                </c:pt>
                <c:pt idx="1">
                  <c:v>2850</c:v>
                </c:pt>
              </c:numCache>
            </c:numRef>
          </c:xVal>
          <c:yVal>
            <c:numRef>
              <c:f>'IF =  RF + LO'!$AX$4:$AX$5</c:f>
              <c:numCache>
                <c:formatCode>General</c:formatCode>
                <c:ptCount val="2"/>
                <c:pt idx="0">
                  <c:v>2150</c:v>
                </c:pt>
                <c:pt idx="1">
                  <c:v>-150</c:v>
                </c:pt>
              </c:numCache>
            </c:numRef>
          </c:yVal>
          <c:smooth val="0"/>
        </c:ser>
        <c:ser>
          <c:idx val="38"/>
          <c:order val="35"/>
          <c:tx>
            <c:strRef>
              <c:f>'IF =  RF + LO'!$BA$3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+ LO'!$AZ$4:$AZ$5</c:f>
              <c:numCache>
                <c:formatCode>General</c:formatCode>
                <c:ptCount val="2"/>
                <c:pt idx="0">
                  <c:v>4850</c:v>
                </c:pt>
                <c:pt idx="1">
                  <c:v>4850</c:v>
                </c:pt>
              </c:numCache>
            </c:numRef>
          </c:xVal>
          <c:yVal>
            <c:numRef>
              <c:f>'IF =  RF + LO'!$BA$4:$BA$5</c:f>
              <c:numCache>
                <c:formatCode>General</c:formatCode>
                <c:ptCount val="2"/>
                <c:pt idx="0">
                  <c:v>-2150</c:v>
                </c:pt>
                <c:pt idx="1">
                  <c:v>150</c:v>
                </c:pt>
              </c:numCache>
            </c:numRef>
          </c:yVal>
          <c:smooth val="0"/>
        </c:ser>
        <c:ser>
          <c:idx val="22"/>
          <c:order val="36"/>
          <c:tx>
            <c:strRef>
              <c:f>'IF =  RF + LO'!$P$3</c:f>
              <c:strCache>
                <c:ptCount val="1"/>
                <c:pt idx="0">
                  <c:v>RF-LO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LO'!$P$4:$P$7</c:f>
              <c:numCache>
                <c:formatCode>General</c:formatCode>
                <c:ptCount val="4"/>
                <c:pt idx="0">
                  <c:v>40450</c:v>
                </c:pt>
                <c:pt idx="1">
                  <c:v>-23550</c:v>
                </c:pt>
                <c:pt idx="2">
                  <c:v>39550</c:v>
                </c:pt>
                <c:pt idx="3">
                  <c:v>-24450</c:v>
                </c:pt>
              </c:numCache>
            </c:numRef>
          </c:yVal>
          <c:smooth val="0"/>
        </c:ser>
        <c:ser>
          <c:idx val="39"/>
          <c:order val="37"/>
          <c:tx>
            <c:strRef>
              <c:f>'IF =  RF + LO'!$AL$3</c:f>
              <c:strCache>
                <c:ptCount val="1"/>
                <c:pt idx="0">
                  <c:v>LO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LO'!$AL$4:$AL$7</c:f>
              <c:numCache>
                <c:formatCode>General</c:formatCode>
                <c:ptCount val="4"/>
                <c:pt idx="0">
                  <c:v>-450</c:v>
                </c:pt>
                <c:pt idx="1">
                  <c:v>-32450</c:v>
                </c:pt>
                <c:pt idx="2">
                  <c:v>450</c:v>
                </c:pt>
                <c:pt idx="3">
                  <c:v>-31550</c:v>
                </c:pt>
              </c:numCache>
            </c:numRef>
          </c:yVal>
          <c:smooth val="0"/>
        </c:ser>
        <c:ser>
          <c:idx val="40"/>
          <c:order val="38"/>
          <c:tx>
            <c:strRef>
              <c:f>'IF =  RF + LO'!$AM$3</c:f>
              <c:strCache>
                <c:ptCount val="1"/>
                <c:pt idx="0">
                  <c:v>2LO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LO'!$AM$4:$AM$7</c:f>
              <c:numCache>
                <c:formatCode>General</c:formatCode>
                <c:ptCount val="4"/>
                <c:pt idx="0">
                  <c:v>19550</c:v>
                </c:pt>
                <c:pt idx="1">
                  <c:v>-44450</c:v>
                </c:pt>
                <c:pt idx="2">
                  <c:v>20450</c:v>
                </c:pt>
                <c:pt idx="3">
                  <c:v>-43550</c:v>
                </c:pt>
              </c:numCache>
            </c:numRef>
          </c:yVal>
          <c:smooth val="0"/>
        </c:ser>
        <c:ser>
          <c:idx val="41"/>
          <c:order val="39"/>
          <c:tx>
            <c:strRef>
              <c:f>'IF =  RF + LO'!$AN$3</c:f>
              <c:strCache>
                <c:ptCount val="1"/>
                <c:pt idx="0">
                  <c:v>3LO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LO'!$AN$4:$AN$7</c:f>
              <c:numCache>
                <c:formatCode>General</c:formatCode>
                <c:ptCount val="4"/>
                <c:pt idx="0">
                  <c:v>39550</c:v>
                </c:pt>
                <c:pt idx="1">
                  <c:v>-56450</c:v>
                </c:pt>
                <c:pt idx="2">
                  <c:v>40450</c:v>
                </c:pt>
                <c:pt idx="3">
                  <c:v>-55550</c:v>
                </c:pt>
              </c:numCache>
            </c:numRef>
          </c:yVal>
          <c:smooth val="0"/>
        </c:ser>
        <c:ser>
          <c:idx val="42"/>
          <c:order val="40"/>
          <c:tx>
            <c:strRef>
              <c:f>'IF =  RF + LO'!$AO$3</c:f>
              <c:strCache>
                <c:ptCount val="1"/>
                <c:pt idx="0">
                  <c:v>4LO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LO'!$AO$4:$AO$7</c:f>
              <c:numCache>
                <c:formatCode>General</c:formatCode>
                <c:ptCount val="4"/>
                <c:pt idx="0">
                  <c:v>59550</c:v>
                </c:pt>
                <c:pt idx="1">
                  <c:v>-68450</c:v>
                </c:pt>
                <c:pt idx="2">
                  <c:v>60450</c:v>
                </c:pt>
                <c:pt idx="3">
                  <c:v>-67550</c:v>
                </c:pt>
              </c:numCache>
            </c:numRef>
          </c:yVal>
          <c:smooth val="0"/>
        </c:ser>
        <c:ser>
          <c:idx val="43"/>
          <c:order val="41"/>
          <c:tx>
            <c:strRef>
              <c:f>'IF =  RF + LO'!$BC$2:$BD$2</c:f>
              <c:strCache>
                <c:ptCount val="1"/>
                <c:pt idx="0">
                  <c:v>IF line</c:v>
                </c:pt>
              </c:strCache>
            </c:strRef>
          </c:tx>
          <c:spPr>
            <a:ln w="3175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'IF =  RF + LO'!$BC$4:$BC$5</c:f>
              <c:numCache>
                <c:formatCode>General</c:formatCode>
                <c:ptCount val="2"/>
                <c:pt idx="0">
                  <c:v>20000</c:v>
                </c:pt>
                <c:pt idx="1">
                  <c:v>20000</c:v>
                </c:pt>
              </c:numCache>
            </c:numRef>
          </c:xVal>
          <c:yVal>
            <c:numRef>
              <c:f>'IF =  RF + LO'!$BD$4:$BD$5</c:f>
              <c:numCache>
                <c:formatCode>General</c:formatCode>
                <c:ptCount val="2"/>
                <c:pt idx="0">
                  <c:v>-32000</c:v>
                </c:pt>
                <c:pt idx="1">
                  <c:v>32000</c:v>
                </c:pt>
              </c:numCache>
            </c:numRef>
          </c:yVal>
          <c:smooth val="0"/>
        </c:ser>
        <c:ser>
          <c:idx val="14"/>
          <c:order val="42"/>
          <c:tx>
            <c:strRef>
              <c:f>'IF =  RF + LO'!$W$3</c:f>
              <c:strCache>
                <c:ptCount val="1"/>
                <c:pt idx="0">
                  <c:v>LO-RF</c:v>
                </c:pt>
              </c:strCache>
            </c:strRef>
          </c:tx>
          <c:marker>
            <c:symbol val="none"/>
          </c:marker>
          <c:xVal>
            <c:numRef>
              <c:f>'IF =  RF + LO'!$A$4:$A$7</c:f>
              <c:numCache>
                <c:formatCode>General</c:formatCode>
                <c:ptCount val="4"/>
                <c:pt idx="0">
                  <c:v>0</c:v>
                </c:pt>
                <c:pt idx="1">
                  <c:v>32000</c:v>
                </c:pt>
                <c:pt idx="2">
                  <c:v>0</c:v>
                </c:pt>
                <c:pt idx="3">
                  <c:v>32000</c:v>
                </c:pt>
              </c:numCache>
            </c:numRef>
          </c:xVal>
          <c:yVal>
            <c:numRef>
              <c:f>'IF =  RF + LO'!$W$4:$W$7</c:f>
              <c:numCache>
                <c:formatCode>General</c:formatCode>
                <c:ptCount val="4"/>
                <c:pt idx="0">
                  <c:v>-450</c:v>
                </c:pt>
                <c:pt idx="1">
                  <c:v>-64450</c:v>
                </c:pt>
                <c:pt idx="2">
                  <c:v>450</c:v>
                </c:pt>
                <c:pt idx="3">
                  <c:v>-63550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85568"/>
        <c:axId val="214651536"/>
      </c:scatterChart>
      <c:valAx>
        <c:axId val="214585568"/>
        <c:scaling>
          <c:orientation val="minMax"/>
          <c:max val="32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51536"/>
        <c:crosses val="autoZero"/>
        <c:crossBetween val="midCat"/>
        <c:majorUnit val="3200"/>
        <c:minorUnit val="64"/>
      </c:valAx>
      <c:valAx>
        <c:axId val="214651536"/>
        <c:scaling>
          <c:orientation val="minMax"/>
          <c:max val="10000"/>
          <c:min val="-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585568"/>
        <c:crosses val="autoZero"/>
        <c:crossBetween val="midCat"/>
        <c:majorUnit val="20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16</xdr:col>
      <xdr:colOff>476322</xdr:colOff>
      <xdr:row>49</xdr:row>
      <xdr:rowOff>161161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476500"/>
          <a:ext cx="9620322" cy="4371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0</xdr:rowOff>
    </xdr:from>
    <xdr:to>
      <xdr:col>14</xdr:col>
      <xdr:colOff>19050</xdr:colOff>
      <xdr:row>36</xdr:row>
      <xdr:rowOff>152400</xdr:rowOff>
    </xdr:to>
    <xdr:graphicFrame macro="">
      <xdr:nvGraphicFramePr>
        <xdr:cNvPr id="48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0</xdr:rowOff>
    </xdr:from>
    <xdr:to>
      <xdr:col>14</xdr:col>
      <xdr:colOff>19050</xdr:colOff>
      <xdr:row>36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0</xdr:rowOff>
    </xdr:from>
    <xdr:to>
      <xdr:col>14</xdr:col>
      <xdr:colOff>19050</xdr:colOff>
      <xdr:row>36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nkedin.com/in/microwaves/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workbookViewId="0">
      <selection activeCell="E23" sqref="E23"/>
    </sheetView>
  </sheetViews>
  <sheetFormatPr defaultRowHeight="12.75" x14ac:dyDescent="0.2"/>
  <sheetData>
    <row r="1" spans="1:6" ht="18" x14ac:dyDescent="0.25">
      <c r="A1" s="54" t="s">
        <v>73</v>
      </c>
    </row>
    <row r="3" spans="1:6" ht="14.25" x14ac:dyDescent="0.2">
      <c r="A3" s="44" t="s">
        <v>57</v>
      </c>
      <c r="B3" s="44"/>
      <c r="C3" s="44"/>
      <c r="D3" s="44"/>
      <c r="E3" s="44"/>
      <c r="F3" s="44"/>
    </row>
    <row r="4" spans="1:6" ht="14.25" x14ac:dyDescent="0.2">
      <c r="A4" s="44"/>
      <c r="B4" s="45" t="s">
        <v>61</v>
      </c>
      <c r="C4" s="44"/>
      <c r="D4" s="44"/>
      <c r="E4" s="44"/>
      <c r="F4" s="44"/>
    </row>
    <row r="5" spans="1:6" ht="14.25" x14ac:dyDescent="0.2">
      <c r="A5" s="44"/>
      <c r="B5" s="44"/>
      <c r="C5" s="44"/>
      <c r="D5" s="44"/>
      <c r="E5" s="44"/>
      <c r="F5" s="44"/>
    </row>
    <row r="6" spans="1:6" ht="14.25" x14ac:dyDescent="0.2">
      <c r="A6" s="44" t="s">
        <v>58</v>
      </c>
      <c r="B6" s="44"/>
      <c r="C6" s="44"/>
      <c r="D6" s="44"/>
      <c r="E6" s="44"/>
      <c r="F6" s="47" t="s">
        <v>67</v>
      </c>
    </row>
    <row r="7" spans="1:6" ht="14.25" x14ac:dyDescent="0.2">
      <c r="A7" s="44"/>
      <c r="B7" s="44"/>
      <c r="C7" s="44"/>
      <c r="D7" s="44"/>
      <c r="E7" s="44"/>
      <c r="F7" s="47"/>
    </row>
    <row r="8" spans="1:6" ht="14.25" x14ac:dyDescent="0.2">
      <c r="A8" s="44"/>
      <c r="B8" s="44" t="s">
        <v>69</v>
      </c>
      <c r="C8" s="44"/>
      <c r="D8" s="44"/>
      <c r="E8" s="44"/>
      <c r="F8" s="47"/>
    </row>
    <row r="9" spans="1:6" ht="14.25" x14ac:dyDescent="0.2">
      <c r="A9" s="44"/>
      <c r="B9" s="44" t="s">
        <v>70</v>
      </c>
      <c r="C9" s="44"/>
      <c r="D9" s="44"/>
      <c r="E9" s="44"/>
      <c r="F9" s="47"/>
    </row>
    <row r="10" spans="1:6" ht="14.25" x14ac:dyDescent="0.2">
      <c r="A10" s="44"/>
      <c r="B10" s="44"/>
      <c r="C10" s="44"/>
      <c r="D10" s="44"/>
      <c r="E10" s="44"/>
      <c r="F10" s="44"/>
    </row>
    <row r="11" spans="1:6" ht="14.25" x14ac:dyDescent="0.2">
      <c r="A11" s="44" t="s">
        <v>68</v>
      </c>
      <c r="B11" s="44"/>
      <c r="C11" s="44"/>
      <c r="D11" s="44"/>
      <c r="E11" s="44"/>
      <c r="F11" s="44"/>
    </row>
    <row r="12" spans="1:6" ht="14.25" x14ac:dyDescent="0.2">
      <c r="A12" s="44"/>
      <c r="B12" s="44"/>
      <c r="C12" s="44"/>
      <c r="D12" s="44"/>
      <c r="E12" s="44"/>
      <c r="F12" s="44"/>
    </row>
    <row r="13" spans="1:6" ht="14.25" x14ac:dyDescent="0.2">
      <c r="A13" s="44"/>
      <c r="B13" s="44" t="s">
        <v>75</v>
      </c>
      <c r="C13" s="44"/>
      <c r="D13" s="44"/>
      <c r="E13" s="44"/>
      <c r="F13" s="44"/>
    </row>
    <row r="14" spans="1:6" ht="14.25" x14ac:dyDescent="0.2">
      <c r="B14" s="44" t="s">
        <v>74</v>
      </c>
    </row>
    <row r="16" spans="1:6" x14ac:dyDescent="0.2">
      <c r="A16" s="37" t="s">
        <v>6</v>
      </c>
    </row>
    <row r="17" spans="1:34" x14ac:dyDescent="0.2">
      <c r="A17" s="37" t="s">
        <v>5</v>
      </c>
    </row>
    <row r="18" spans="1:34" x14ac:dyDescent="0.2">
      <c r="A18" s="37" t="s">
        <v>51</v>
      </c>
      <c r="AE18" s="38"/>
      <c r="AF18" s="46"/>
    </row>
    <row r="19" spans="1:34" x14ac:dyDescent="0.2">
      <c r="A19" s="52">
        <v>0</v>
      </c>
      <c r="B19" s="42" t="s">
        <v>71</v>
      </c>
    </row>
    <row r="20" spans="1:34" x14ac:dyDescent="0.2">
      <c r="A20" s="53">
        <v>32000</v>
      </c>
      <c r="B20" s="42" t="s">
        <v>72</v>
      </c>
      <c r="G20" s="42" t="s">
        <v>65</v>
      </c>
    </row>
    <row r="21" spans="1:34" x14ac:dyDescent="0.2">
      <c r="A21" s="29">
        <v>0</v>
      </c>
      <c r="G21" s="42" t="s">
        <v>66</v>
      </c>
    </row>
    <row r="22" spans="1:34" x14ac:dyDescent="0.2">
      <c r="A22" s="29">
        <v>32000</v>
      </c>
      <c r="B22" s="42" t="s">
        <v>59</v>
      </c>
      <c r="G22" s="20" t="s">
        <v>1</v>
      </c>
      <c r="H22" s="28">
        <v>300</v>
      </c>
      <c r="I22" s="21" t="s">
        <v>0</v>
      </c>
    </row>
    <row r="23" spans="1:34" x14ac:dyDescent="0.2">
      <c r="B23" s="25" t="s">
        <v>9</v>
      </c>
      <c r="C23" s="26">
        <v>11200</v>
      </c>
      <c r="D23" s="27" t="s">
        <v>0</v>
      </c>
      <c r="G23" s="22" t="s">
        <v>7</v>
      </c>
      <c r="H23" s="23">
        <v>300</v>
      </c>
      <c r="I23" s="24" t="s">
        <v>0</v>
      </c>
      <c r="L23" s="40" t="s">
        <v>4</v>
      </c>
      <c r="M23" s="41">
        <v>4500</v>
      </c>
      <c r="N23" s="29" t="s">
        <v>0</v>
      </c>
      <c r="AH23" t="s">
        <v>52</v>
      </c>
    </row>
    <row r="51" spans="2:14" x14ac:dyDescent="0.2">
      <c r="C51" s="20" t="s">
        <v>11</v>
      </c>
      <c r="D51" s="28">
        <v>6000</v>
      </c>
      <c r="E51" s="21" t="s">
        <v>0</v>
      </c>
      <c r="H51" s="40" t="s">
        <v>19</v>
      </c>
      <c r="I51" s="41">
        <v>11050</v>
      </c>
      <c r="J51" s="29" t="s">
        <v>0</v>
      </c>
      <c r="L51" s="40" t="s">
        <v>17</v>
      </c>
      <c r="M51" s="41">
        <v>17350</v>
      </c>
      <c r="N51" s="29" t="s">
        <v>0</v>
      </c>
    </row>
    <row r="52" spans="2:14" x14ac:dyDescent="0.2">
      <c r="C52" s="22" t="s">
        <v>10</v>
      </c>
      <c r="D52" s="23">
        <v>10500</v>
      </c>
      <c r="E52" s="24" t="s">
        <v>0</v>
      </c>
      <c r="H52" s="40" t="s">
        <v>20</v>
      </c>
      <c r="I52" s="41">
        <v>11350</v>
      </c>
      <c r="J52" s="29" t="s">
        <v>0</v>
      </c>
      <c r="L52" s="40" t="s">
        <v>18</v>
      </c>
      <c r="M52" s="41">
        <v>21550</v>
      </c>
      <c r="N52" s="29" t="s">
        <v>0</v>
      </c>
    </row>
    <row r="53" spans="2:14" x14ac:dyDescent="0.2">
      <c r="B53" s="18"/>
      <c r="C53" s="42" t="s">
        <v>60</v>
      </c>
    </row>
    <row r="56" spans="2:14" x14ac:dyDescent="0.2">
      <c r="B56" s="43" t="s">
        <v>62</v>
      </c>
    </row>
    <row r="58" spans="2:14" x14ac:dyDescent="0.2">
      <c r="B58" s="38" t="s">
        <v>64</v>
      </c>
    </row>
    <row r="59" spans="2:14" x14ac:dyDescent="0.2">
      <c r="B59" s="46" t="s">
        <v>63</v>
      </c>
    </row>
  </sheetData>
  <conditionalFormatting sqref="E23">
    <cfRule type="expression" dxfId="7" priority="6">
      <formula>$M$51&lt;0</formula>
    </cfRule>
  </conditionalFormatting>
  <conditionalFormatting sqref="C23">
    <cfRule type="expression" dxfId="6" priority="7">
      <formula>$M$51&lt;0</formula>
    </cfRule>
  </conditionalFormatting>
  <hyperlinks>
    <hyperlink ref="B5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workbookViewId="0">
      <pane xSplit="1" topLeftCell="B1" activePane="topRight" state="frozen"/>
      <selection pane="topRight" activeCell="E10" sqref="E10"/>
    </sheetView>
  </sheetViews>
  <sheetFormatPr defaultColWidth="11.42578125" defaultRowHeight="12.75" x14ac:dyDescent="0.2"/>
  <cols>
    <col min="1" max="1" width="8.42578125" bestFit="1" customWidth="1"/>
    <col min="2" max="2" width="11" customWidth="1"/>
    <col min="3" max="3" width="10" customWidth="1"/>
    <col min="4" max="4" width="10.42578125" customWidth="1"/>
    <col min="5" max="5" width="10.7109375" customWidth="1"/>
    <col min="6" max="6" width="10.28515625" customWidth="1"/>
    <col min="7" max="7" width="11.7109375" customWidth="1"/>
    <col min="8" max="8" width="11.28515625" customWidth="1"/>
    <col min="42" max="42" width="1.85546875" customWidth="1"/>
    <col min="45" max="45" width="1.5703125" customWidth="1"/>
    <col min="48" max="48" width="2" customWidth="1"/>
    <col min="51" max="51" width="2.85546875" customWidth="1"/>
    <col min="54" max="54" width="2.7109375" customWidth="1"/>
  </cols>
  <sheetData>
    <row r="1" spans="1:56" x14ac:dyDescent="0.2">
      <c r="A1" s="37" t="s">
        <v>6</v>
      </c>
      <c r="B1" s="8">
        <v>-2</v>
      </c>
      <c r="C1" s="9">
        <v>-1</v>
      </c>
      <c r="D1" s="9">
        <v>1</v>
      </c>
      <c r="E1" s="10">
        <v>2</v>
      </c>
      <c r="F1" s="8">
        <v>-2</v>
      </c>
      <c r="G1" s="9">
        <v>-1</v>
      </c>
      <c r="H1" s="9">
        <v>1</v>
      </c>
      <c r="I1" s="10">
        <v>2</v>
      </c>
      <c r="J1" s="8">
        <v>-2</v>
      </c>
      <c r="K1" s="9">
        <v>-1</v>
      </c>
      <c r="L1" s="9">
        <v>1</v>
      </c>
      <c r="M1" s="10">
        <v>2</v>
      </c>
      <c r="N1" s="8">
        <v>-2</v>
      </c>
      <c r="O1" s="9">
        <v>-1</v>
      </c>
      <c r="P1" s="9">
        <v>1</v>
      </c>
      <c r="Q1" s="10">
        <v>2</v>
      </c>
      <c r="R1" s="8">
        <v>-2</v>
      </c>
      <c r="S1" s="9">
        <v>-1</v>
      </c>
      <c r="T1" s="9">
        <v>1</v>
      </c>
      <c r="U1" s="10">
        <v>2</v>
      </c>
      <c r="V1" s="8">
        <v>-2</v>
      </c>
      <c r="W1" s="9">
        <v>-1</v>
      </c>
      <c r="X1" s="9">
        <v>1</v>
      </c>
      <c r="Y1" s="10">
        <v>2</v>
      </c>
      <c r="Z1" s="8">
        <v>-2</v>
      </c>
      <c r="AA1" s="9">
        <v>-1</v>
      </c>
      <c r="AB1" s="9">
        <v>1</v>
      </c>
      <c r="AC1" s="10">
        <v>2</v>
      </c>
      <c r="AD1" s="8">
        <v>-2</v>
      </c>
      <c r="AE1" s="9">
        <v>-1</v>
      </c>
      <c r="AF1" s="9">
        <v>1</v>
      </c>
      <c r="AG1" s="10">
        <v>2</v>
      </c>
      <c r="AH1" s="8">
        <v>-2</v>
      </c>
      <c r="AI1" s="9">
        <v>-1</v>
      </c>
      <c r="AJ1" s="9">
        <v>1</v>
      </c>
      <c r="AK1" s="9">
        <v>2</v>
      </c>
      <c r="AL1" s="9">
        <v>0</v>
      </c>
      <c r="AM1" s="9">
        <v>0</v>
      </c>
      <c r="AN1" s="9">
        <v>0</v>
      </c>
      <c r="AO1" s="10">
        <v>0</v>
      </c>
      <c r="AP1" s="2"/>
      <c r="AQ1" s="2"/>
      <c r="AR1" s="2"/>
      <c r="AS1" s="2"/>
      <c r="AT1" s="2"/>
      <c r="AU1" s="2"/>
      <c r="AV1" s="2"/>
    </row>
    <row r="2" spans="1:56" x14ac:dyDescent="0.2">
      <c r="A2" s="37" t="s">
        <v>5</v>
      </c>
      <c r="B2" s="11">
        <v>-4</v>
      </c>
      <c r="C2" s="12">
        <f>B2</f>
        <v>-4</v>
      </c>
      <c r="D2" s="12">
        <f>C2</f>
        <v>-4</v>
      </c>
      <c r="E2" s="13">
        <f>D2</f>
        <v>-4</v>
      </c>
      <c r="F2" s="11">
        <v>-3</v>
      </c>
      <c r="G2" s="12">
        <f>F2</f>
        <v>-3</v>
      </c>
      <c r="H2" s="12">
        <f>G2</f>
        <v>-3</v>
      </c>
      <c r="I2" s="13">
        <f>H2</f>
        <v>-3</v>
      </c>
      <c r="J2" s="11">
        <v>-2</v>
      </c>
      <c r="K2" s="12">
        <f>J2</f>
        <v>-2</v>
      </c>
      <c r="L2" s="12">
        <f>K2</f>
        <v>-2</v>
      </c>
      <c r="M2" s="13">
        <f>L2</f>
        <v>-2</v>
      </c>
      <c r="N2" s="11">
        <v>-1</v>
      </c>
      <c r="O2" s="12">
        <f>N2</f>
        <v>-1</v>
      </c>
      <c r="P2" s="12">
        <f>O2</f>
        <v>-1</v>
      </c>
      <c r="Q2" s="13">
        <f>P2</f>
        <v>-1</v>
      </c>
      <c r="R2" s="11">
        <v>0</v>
      </c>
      <c r="S2" s="12">
        <f>R2</f>
        <v>0</v>
      </c>
      <c r="T2" s="12">
        <f>S2</f>
        <v>0</v>
      </c>
      <c r="U2" s="13">
        <f>T2</f>
        <v>0</v>
      </c>
      <c r="V2" s="11">
        <v>1</v>
      </c>
      <c r="W2" s="12">
        <f>V2</f>
        <v>1</v>
      </c>
      <c r="X2" s="12">
        <f>W2</f>
        <v>1</v>
      </c>
      <c r="Y2" s="13">
        <f>X2</f>
        <v>1</v>
      </c>
      <c r="Z2" s="11">
        <v>2</v>
      </c>
      <c r="AA2" s="12">
        <f>Z2</f>
        <v>2</v>
      </c>
      <c r="AB2" s="12">
        <f>AA2</f>
        <v>2</v>
      </c>
      <c r="AC2" s="13">
        <f>AB2</f>
        <v>2</v>
      </c>
      <c r="AD2" s="11">
        <v>3</v>
      </c>
      <c r="AE2" s="12">
        <f>AD2</f>
        <v>3</v>
      </c>
      <c r="AF2" s="12">
        <f>AE2</f>
        <v>3</v>
      </c>
      <c r="AG2" s="13">
        <f>AF2</f>
        <v>3</v>
      </c>
      <c r="AH2" s="11">
        <v>4</v>
      </c>
      <c r="AI2" s="12">
        <f>AH2</f>
        <v>4</v>
      </c>
      <c r="AJ2" s="12">
        <f>AI2</f>
        <v>4</v>
      </c>
      <c r="AK2" s="12">
        <f>AJ2</f>
        <v>4</v>
      </c>
      <c r="AL2" s="12">
        <v>1</v>
      </c>
      <c r="AM2" s="12">
        <v>2</v>
      </c>
      <c r="AN2" s="12">
        <v>3</v>
      </c>
      <c r="AO2" s="13">
        <v>4</v>
      </c>
      <c r="AP2" s="2"/>
      <c r="AQ2" s="49" t="s">
        <v>16</v>
      </c>
      <c r="AR2" s="49"/>
      <c r="AS2" s="49"/>
      <c r="AT2" s="49"/>
      <c r="AU2" s="49"/>
      <c r="AV2" s="49"/>
      <c r="AW2" s="49"/>
      <c r="AX2" s="49"/>
      <c r="AY2" s="49"/>
      <c r="AZ2" s="49"/>
      <c r="BA2" s="49"/>
      <c r="BC2" s="48" t="s">
        <v>49</v>
      </c>
      <c r="BD2" s="48"/>
    </row>
    <row r="3" spans="1:56" x14ac:dyDescent="0.2">
      <c r="A3" s="37" t="s">
        <v>51</v>
      </c>
      <c r="B3" s="3" t="s">
        <v>21</v>
      </c>
      <c r="C3" s="3" t="s">
        <v>22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3" t="s">
        <v>33</v>
      </c>
      <c r="K3" s="3" t="s">
        <v>32</v>
      </c>
      <c r="L3" s="3" t="s">
        <v>34</v>
      </c>
      <c r="M3" s="3" t="s">
        <v>35</v>
      </c>
      <c r="N3" s="3" t="s">
        <v>31</v>
      </c>
      <c r="O3" s="3" t="s">
        <v>36</v>
      </c>
      <c r="P3" s="3" t="s">
        <v>56</v>
      </c>
      <c r="Q3" s="3" t="s">
        <v>38</v>
      </c>
      <c r="R3" s="3" t="s">
        <v>39</v>
      </c>
      <c r="S3" s="3" t="s">
        <v>2</v>
      </c>
      <c r="T3" s="3" t="s">
        <v>2</v>
      </c>
      <c r="U3" s="3" t="s">
        <v>39</v>
      </c>
      <c r="V3" s="3" t="s">
        <v>40</v>
      </c>
      <c r="W3" s="3" t="s">
        <v>41</v>
      </c>
      <c r="X3" s="3" t="s">
        <v>36</v>
      </c>
      <c r="Y3" s="3" t="s">
        <v>31</v>
      </c>
      <c r="Z3" s="3" t="s">
        <v>42</v>
      </c>
      <c r="AA3" s="3" t="s">
        <v>43</v>
      </c>
      <c r="AB3" s="3" t="s">
        <v>32</v>
      </c>
      <c r="AC3" s="3" t="s">
        <v>33</v>
      </c>
      <c r="AD3" s="3" t="s">
        <v>44</v>
      </c>
      <c r="AE3" s="3" t="s">
        <v>45</v>
      </c>
      <c r="AF3" s="3" t="s">
        <v>28</v>
      </c>
      <c r="AG3" s="3" t="s">
        <v>27</v>
      </c>
      <c r="AH3" s="3" t="s">
        <v>24</v>
      </c>
      <c r="AI3" s="3" t="s">
        <v>23</v>
      </c>
      <c r="AJ3" s="3" t="s">
        <v>22</v>
      </c>
      <c r="AK3" s="3" t="s">
        <v>21</v>
      </c>
      <c r="AL3" s="3" t="s">
        <v>3</v>
      </c>
      <c r="AM3" s="3" t="s">
        <v>46</v>
      </c>
      <c r="AN3" s="3" t="s">
        <v>47</v>
      </c>
      <c r="AO3" s="3" t="s">
        <v>48</v>
      </c>
      <c r="AP3" s="3"/>
      <c r="AQ3" s="14" t="s">
        <v>8</v>
      </c>
      <c r="AR3" s="15" t="s">
        <v>12</v>
      </c>
      <c r="AS3" s="3"/>
      <c r="AT3" s="14" t="s">
        <v>8</v>
      </c>
      <c r="AU3" s="15" t="s">
        <v>13</v>
      </c>
      <c r="AV3" s="3"/>
      <c r="AW3" s="14" t="s">
        <v>8</v>
      </c>
      <c r="AX3" s="15" t="s">
        <v>14</v>
      </c>
      <c r="AY3" s="3"/>
      <c r="AZ3" s="14" t="s">
        <v>8</v>
      </c>
      <c r="BA3" s="15" t="s">
        <v>15</v>
      </c>
      <c r="BC3" s="31" t="s">
        <v>8</v>
      </c>
      <c r="BD3" s="32" t="s">
        <v>50</v>
      </c>
    </row>
    <row r="4" spans="1:56" x14ac:dyDescent="0.2">
      <c r="A4" s="50">
        <v>0</v>
      </c>
      <c r="B4" s="2">
        <f t="shared" ref="B4:AK4" si="0">((1-B2)*IF+G+IF_BW/2-(B2+B1)*xmin)/B1</f>
        <v>-28225</v>
      </c>
      <c r="C4" s="2">
        <f t="shared" si="0"/>
        <v>-56450</v>
      </c>
      <c r="D4" s="2">
        <f t="shared" si="0"/>
        <v>56450</v>
      </c>
      <c r="E4" s="2">
        <f t="shared" si="0"/>
        <v>28225</v>
      </c>
      <c r="F4" s="2">
        <f t="shared" si="0"/>
        <v>-22625</v>
      </c>
      <c r="G4" s="2">
        <f t="shared" si="0"/>
        <v>-45250</v>
      </c>
      <c r="H4" s="2">
        <f t="shared" si="0"/>
        <v>45250</v>
      </c>
      <c r="I4" s="2">
        <f t="shared" si="0"/>
        <v>22625</v>
      </c>
      <c r="J4" s="2">
        <f t="shared" si="0"/>
        <v>-17025</v>
      </c>
      <c r="K4" s="2">
        <f t="shared" si="0"/>
        <v>-34050</v>
      </c>
      <c r="L4" s="2">
        <f t="shared" si="0"/>
        <v>34050</v>
      </c>
      <c r="M4" s="2">
        <f t="shared" si="0"/>
        <v>17025</v>
      </c>
      <c r="N4" s="2">
        <f t="shared" si="0"/>
        <v>-11425</v>
      </c>
      <c r="O4" s="2">
        <f t="shared" si="0"/>
        <v>-22850</v>
      </c>
      <c r="P4" s="2">
        <f t="shared" si="0"/>
        <v>22850</v>
      </c>
      <c r="Q4" s="2">
        <f t="shared" si="0"/>
        <v>11425</v>
      </c>
      <c r="R4" s="2">
        <f t="shared" si="0"/>
        <v>-5825</v>
      </c>
      <c r="S4" s="2">
        <f t="shared" si="0"/>
        <v>-11650</v>
      </c>
      <c r="T4" s="2">
        <f t="shared" si="0"/>
        <v>11650</v>
      </c>
      <c r="U4" s="2">
        <f t="shared" si="0"/>
        <v>5825</v>
      </c>
      <c r="V4" s="2">
        <f t="shared" si="0"/>
        <v>-225</v>
      </c>
      <c r="W4" s="2">
        <f t="shared" si="0"/>
        <v>-450</v>
      </c>
      <c r="X4" s="2">
        <f t="shared" si="0"/>
        <v>450</v>
      </c>
      <c r="Y4" s="2">
        <f t="shared" si="0"/>
        <v>225</v>
      </c>
      <c r="Z4" s="2">
        <f t="shared" si="0"/>
        <v>5375</v>
      </c>
      <c r="AA4" s="2">
        <f t="shared" si="0"/>
        <v>10750</v>
      </c>
      <c r="AB4" s="2">
        <f t="shared" si="0"/>
        <v>-10750</v>
      </c>
      <c r="AC4" s="2">
        <f t="shared" si="0"/>
        <v>-5375</v>
      </c>
      <c r="AD4" s="2">
        <f t="shared" si="0"/>
        <v>10975</v>
      </c>
      <c r="AE4" s="2">
        <f t="shared" si="0"/>
        <v>21950</v>
      </c>
      <c r="AF4" s="2">
        <f t="shared" si="0"/>
        <v>-21950</v>
      </c>
      <c r="AG4" s="2">
        <f t="shared" si="0"/>
        <v>-10975</v>
      </c>
      <c r="AH4" s="2">
        <f t="shared" si="0"/>
        <v>16575</v>
      </c>
      <c r="AI4" s="2">
        <f t="shared" si="0"/>
        <v>33150</v>
      </c>
      <c r="AJ4" s="2">
        <f t="shared" si="0"/>
        <v>-33150</v>
      </c>
      <c r="AK4" s="2">
        <f t="shared" si="0"/>
        <v>-16575</v>
      </c>
      <c r="AL4" s="2">
        <f>AL2*(IF+xmin)-(IF+(G+IF_BW/2))</f>
        <v>-450</v>
      </c>
      <c r="AM4" s="2">
        <f>AM2*(IF+xmin)-(IF+(G+IF_BW/2))</f>
        <v>10750</v>
      </c>
      <c r="AN4" s="2">
        <f>AN2*(IF+xmin)-(IF+(G+IF_BW/2))</f>
        <v>21950</v>
      </c>
      <c r="AO4" s="2">
        <f>AO2*(IF+xmin)-(IF+(G+IF_BW/2))</f>
        <v>33150</v>
      </c>
      <c r="AQ4" s="16">
        <f>RFmin+IF_BW/2</f>
        <v>6150</v>
      </c>
      <c r="AR4" s="17">
        <f>RF_BW-IF_BW/2</f>
        <v>4350</v>
      </c>
      <c r="AS4" s="2"/>
      <c r="AT4" s="16">
        <f>RFmin+IF_BW/2</f>
        <v>6150</v>
      </c>
      <c r="AU4" s="17">
        <f>-IF_BW/2</f>
        <v>-150</v>
      </c>
      <c r="AV4" s="2"/>
      <c r="AW4" s="16">
        <f>RFmin+IF_BW/2</f>
        <v>6150</v>
      </c>
      <c r="AX4" s="17">
        <f>RF_BW-IF_BW/2</f>
        <v>4350</v>
      </c>
      <c r="AY4" s="2"/>
      <c r="AZ4" s="16">
        <f>RFmax-IF_BW/2</f>
        <v>10350</v>
      </c>
      <c r="BA4" s="17">
        <f>-RF_BW+IF_BW/2</f>
        <v>-4350</v>
      </c>
      <c r="BC4" s="16">
        <f>IF</f>
        <v>11200</v>
      </c>
      <c r="BD4" s="17">
        <v>-32000</v>
      </c>
    </row>
    <row r="5" spans="1:56" x14ac:dyDescent="0.2">
      <c r="A5" s="51">
        <v>32000</v>
      </c>
      <c r="B5" s="2">
        <f t="shared" ref="B5:AK5" si="1">((1-B2)*IF+G+IF_BW/2-(B2+B1)*xmax)/B1</f>
        <v>-124225</v>
      </c>
      <c r="C5" s="2">
        <f t="shared" si="1"/>
        <v>-216450</v>
      </c>
      <c r="D5" s="2">
        <f t="shared" si="1"/>
        <v>152450</v>
      </c>
      <c r="E5" s="2">
        <f t="shared" si="1"/>
        <v>60225</v>
      </c>
      <c r="F5" s="2">
        <f t="shared" si="1"/>
        <v>-102625</v>
      </c>
      <c r="G5" s="2">
        <f t="shared" si="1"/>
        <v>-173250</v>
      </c>
      <c r="H5" s="2">
        <f t="shared" si="1"/>
        <v>109250</v>
      </c>
      <c r="I5" s="2">
        <f t="shared" si="1"/>
        <v>38625</v>
      </c>
      <c r="J5" s="2">
        <f t="shared" si="1"/>
        <v>-81025</v>
      </c>
      <c r="K5" s="2">
        <f t="shared" si="1"/>
        <v>-130050</v>
      </c>
      <c r="L5" s="2">
        <f t="shared" si="1"/>
        <v>66050</v>
      </c>
      <c r="M5" s="2">
        <f t="shared" si="1"/>
        <v>17025</v>
      </c>
      <c r="N5" s="2">
        <f t="shared" si="1"/>
        <v>-59425</v>
      </c>
      <c r="O5" s="2">
        <f t="shared" si="1"/>
        <v>-86850</v>
      </c>
      <c r="P5" s="2">
        <f t="shared" si="1"/>
        <v>22850</v>
      </c>
      <c r="Q5" s="2">
        <f t="shared" si="1"/>
        <v>-4575</v>
      </c>
      <c r="R5" s="2">
        <f t="shared" si="1"/>
        <v>-37825</v>
      </c>
      <c r="S5" s="2">
        <f t="shared" si="1"/>
        <v>-43650</v>
      </c>
      <c r="T5" s="2">
        <f t="shared" si="1"/>
        <v>-20350</v>
      </c>
      <c r="U5" s="2">
        <f t="shared" si="1"/>
        <v>-26175</v>
      </c>
      <c r="V5" s="2">
        <f t="shared" si="1"/>
        <v>-16225</v>
      </c>
      <c r="W5" s="2">
        <f t="shared" si="1"/>
        <v>-450</v>
      </c>
      <c r="X5" s="2">
        <f t="shared" si="1"/>
        <v>-63550</v>
      </c>
      <c r="Y5" s="2">
        <f t="shared" si="1"/>
        <v>-47775</v>
      </c>
      <c r="Z5" s="2">
        <f t="shared" si="1"/>
        <v>5375</v>
      </c>
      <c r="AA5" s="2">
        <f t="shared" si="1"/>
        <v>42750</v>
      </c>
      <c r="AB5" s="2">
        <f t="shared" si="1"/>
        <v>-106750</v>
      </c>
      <c r="AC5" s="2">
        <f t="shared" si="1"/>
        <v>-69375</v>
      </c>
      <c r="AD5" s="2">
        <f t="shared" si="1"/>
        <v>26975</v>
      </c>
      <c r="AE5" s="2">
        <f t="shared" si="1"/>
        <v>85950</v>
      </c>
      <c r="AF5" s="2">
        <f t="shared" si="1"/>
        <v>-149950</v>
      </c>
      <c r="AG5" s="2">
        <f t="shared" si="1"/>
        <v>-90975</v>
      </c>
      <c r="AH5" s="2">
        <f t="shared" si="1"/>
        <v>48575</v>
      </c>
      <c r="AI5" s="2">
        <f t="shared" si="1"/>
        <v>129150</v>
      </c>
      <c r="AJ5" s="2">
        <f t="shared" si="1"/>
        <v>-193150</v>
      </c>
      <c r="AK5" s="2">
        <f t="shared" si="1"/>
        <v>-112575</v>
      </c>
      <c r="AL5" s="2">
        <f>AL2*(IF+xmax)-(IF+(G+IF_BW/2))</f>
        <v>31550</v>
      </c>
      <c r="AM5" s="2">
        <f>AM2*(IF+xmax)-(IF+(G+IF_BW/2))</f>
        <v>74750</v>
      </c>
      <c r="AN5" s="2">
        <f>AN2*(IF+xmax)-(IF+(G+IF_BW/2))</f>
        <v>117950</v>
      </c>
      <c r="AO5" s="2">
        <f>AO2*(IF+xmax)-(IF+(G+IF_BW/2))</f>
        <v>161150</v>
      </c>
      <c r="AQ5" s="11">
        <f>RFmax-IF_BW/2</f>
        <v>10350</v>
      </c>
      <c r="AR5" s="13">
        <f>IF_BW/2</f>
        <v>150</v>
      </c>
      <c r="AS5" s="2"/>
      <c r="AT5" s="11">
        <f>RFmax-IF_BW/2</f>
        <v>10350</v>
      </c>
      <c r="AU5" s="13">
        <f>-RF_BW+IF_BW/2</f>
        <v>-4350</v>
      </c>
      <c r="AV5" s="2"/>
      <c r="AW5" s="11">
        <f>RFmin+IF_BW/2</f>
        <v>6150</v>
      </c>
      <c r="AX5" s="13">
        <f>-IF_BW/2</f>
        <v>-150</v>
      </c>
      <c r="AY5" s="2"/>
      <c r="AZ5" s="11">
        <f>RFmax-IF_BW/2</f>
        <v>10350</v>
      </c>
      <c r="BA5" s="13">
        <f>IF_BW/2</f>
        <v>150</v>
      </c>
      <c r="BC5" s="11">
        <f>IF</f>
        <v>11200</v>
      </c>
      <c r="BD5" s="13">
        <v>32000</v>
      </c>
    </row>
    <row r="6" spans="1:56" x14ac:dyDescent="0.2">
      <c r="A6" s="29">
        <f>xmin</f>
        <v>0</v>
      </c>
      <c r="B6" s="2">
        <f t="shared" ref="B6:AK6" si="2">((1-B2)*IF-G-IF_BW/2-(B2+B1)*xmin)/B1</f>
        <v>-27775</v>
      </c>
      <c r="C6" s="2">
        <f t="shared" si="2"/>
        <v>-55550</v>
      </c>
      <c r="D6" s="2">
        <f t="shared" si="2"/>
        <v>55550</v>
      </c>
      <c r="E6" s="2">
        <f t="shared" si="2"/>
        <v>27775</v>
      </c>
      <c r="F6" s="2">
        <f t="shared" si="2"/>
        <v>-22175</v>
      </c>
      <c r="G6" s="2">
        <f t="shared" si="2"/>
        <v>-44350</v>
      </c>
      <c r="H6" s="2">
        <f t="shared" si="2"/>
        <v>44350</v>
      </c>
      <c r="I6" s="2">
        <f t="shared" si="2"/>
        <v>22175</v>
      </c>
      <c r="J6" s="2">
        <f t="shared" si="2"/>
        <v>-16575</v>
      </c>
      <c r="K6" s="2">
        <f t="shared" si="2"/>
        <v>-33150</v>
      </c>
      <c r="L6" s="2">
        <f t="shared" si="2"/>
        <v>33150</v>
      </c>
      <c r="M6" s="2">
        <f t="shared" si="2"/>
        <v>16575</v>
      </c>
      <c r="N6" s="2">
        <f t="shared" si="2"/>
        <v>-10975</v>
      </c>
      <c r="O6" s="2">
        <f t="shared" si="2"/>
        <v>-21950</v>
      </c>
      <c r="P6" s="2">
        <f t="shared" si="2"/>
        <v>21950</v>
      </c>
      <c r="Q6" s="2">
        <f t="shared" si="2"/>
        <v>10975</v>
      </c>
      <c r="R6" s="2">
        <f t="shared" si="2"/>
        <v>-5375</v>
      </c>
      <c r="S6" s="2">
        <f t="shared" si="2"/>
        <v>-10750</v>
      </c>
      <c r="T6" s="2">
        <f t="shared" si="2"/>
        <v>10750</v>
      </c>
      <c r="U6" s="2">
        <f t="shared" si="2"/>
        <v>5375</v>
      </c>
      <c r="V6" s="2">
        <f t="shared" si="2"/>
        <v>225</v>
      </c>
      <c r="W6" s="2">
        <f t="shared" si="2"/>
        <v>450</v>
      </c>
      <c r="X6" s="2">
        <f t="shared" si="2"/>
        <v>-450</v>
      </c>
      <c r="Y6" s="2">
        <f t="shared" si="2"/>
        <v>-225</v>
      </c>
      <c r="Z6" s="2">
        <f t="shared" si="2"/>
        <v>5825</v>
      </c>
      <c r="AA6" s="2">
        <f t="shared" si="2"/>
        <v>11650</v>
      </c>
      <c r="AB6" s="2">
        <f t="shared" si="2"/>
        <v>-11650</v>
      </c>
      <c r="AC6" s="2">
        <f t="shared" si="2"/>
        <v>-5825</v>
      </c>
      <c r="AD6" s="2">
        <f t="shared" si="2"/>
        <v>11425</v>
      </c>
      <c r="AE6" s="2">
        <f t="shared" si="2"/>
        <v>22850</v>
      </c>
      <c r="AF6" s="2">
        <f t="shared" si="2"/>
        <v>-22850</v>
      </c>
      <c r="AG6" s="2">
        <f t="shared" si="2"/>
        <v>-11425</v>
      </c>
      <c r="AH6" s="2">
        <f t="shared" si="2"/>
        <v>17025</v>
      </c>
      <c r="AI6" s="2">
        <f t="shared" si="2"/>
        <v>34050</v>
      </c>
      <c r="AJ6" s="2">
        <f t="shared" si="2"/>
        <v>-34050</v>
      </c>
      <c r="AK6" s="2">
        <f t="shared" si="2"/>
        <v>-17025</v>
      </c>
      <c r="AL6" s="2">
        <f>AL2*(IF+xmin)-(IF-(G+IF_BW/2))</f>
        <v>450</v>
      </c>
      <c r="AM6" s="2">
        <f>AM2*(IF+xmin)-(IF-(G+IF_BW/2))</f>
        <v>11650</v>
      </c>
      <c r="AN6" s="2">
        <f>AN2*(IF+xmin)-(IF-(G+IF_BW/2))</f>
        <v>22850</v>
      </c>
      <c r="AO6" s="2">
        <f>AO2*(IF+xmin)-(IF-(G+IF_BW/2))</f>
        <v>34050</v>
      </c>
      <c r="AQ6" s="5"/>
      <c r="AR6" s="5"/>
      <c r="AS6" s="2"/>
      <c r="AT6" s="5"/>
      <c r="AU6" s="5"/>
      <c r="AV6" s="2"/>
      <c r="AW6" s="5"/>
      <c r="AX6" s="5"/>
      <c r="AY6" s="2"/>
      <c r="AZ6" s="5"/>
      <c r="BA6" s="5"/>
      <c r="BC6" s="2"/>
      <c r="BD6" s="2"/>
    </row>
    <row r="7" spans="1:56" x14ac:dyDescent="0.2">
      <c r="A7" s="29">
        <f>xmax</f>
        <v>32000</v>
      </c>
      <c r="B7" s="2">
        <f t="shared" ref="B7:AK7" si="3">((1-B2)*IF-G-IF_BW/2-(B2+B1)*xmax)/B1</f>
        <v>-123775</v>
      </c>
      <c r="C7" s="2">
        <f t="shared" si="3"/>
        <v>-215550</v>
      </c>
      <c r="D7" s="2">
        <f t="shared" si="3"/>
        <v>151550</v>
      </c>
      <c r="E7" s="2">
        <f t="shared" si="3"/>
        <v>59775</v>
      </c>
      <c r="F7" s="2">
        <f t="shared" si="3"/>
        <v>-102175</v>
      </c>
      <c r="G7" s="2">
        <f t="shared" si="3"/>
        <v>-172350</v>
      </c>
      <c r="H7" s="2">
        <f t="shared" si="3"/>
        <v>108350</v>
      </c>
      <c r="I7" s="2">
        <f t="shared" si="3"/>
        <v>38175</v>
      </c>
      <c r="J7" s="2">
        <f t="shared" si="3"/>
        <v>-80575</v>
      </c>
      <c r="K7" s="2">
        <f t="shared" si="3"/>
        <v>-129150</v>
      </c>
      <c r="L7" s="2">
        <f t="shared" si="3"/>
        <v>65150</v>
      </c>
      <c r="M7" s="2">
        <f t="shared" si="3"/>
        <v>16575</v>
      </c>
      <c r="N7" s="2">
        <f t="shared" si="3"/>
        <v>-58975</v>
      </c>
      <c r="O7" s="2">
        <f t="shared" si="3"/>
        <v>-85950</v>
      </c>
      <c r="P7" s="2">
        <f t="shared" si="3"/>
        <v>21950</v>
      </c>
      <c r="Q7" s="2">
        <f t="shared" si="3"/>
        <v>-5025</v>
      </c>
      <c r="R7" s="2">
        <f t="shared" si="3"/>
        <v>-37375</v>
      </c>
      <c r="S7" s="2">
        <f t="shared" si="3"/>
        <v>-42750</v>
      </c>
      <c r="T7" s="2">
        <f t="shared" si="3"/>
        <v>-21250</v>
      </c>
      <c r="U7" s="2">
        <f t="shared" si="3"/>
        <v>-26625</v>
      </c>
      <c r="V7" s="2">
        <f t="shared" si="3"/>
        <v>-15775</v>
      </c>
      <c r="W7" s="2">
        <f t="shared" si="3"/>
        <v>450</v>
      </c>
      <c r="X7" s="2">
        <f t="shared" si="3"/>
        <v>-64450</v>
      </c>
      <c r="Y7" s="2">
        <f t="shared" si="3"/>
        <v>-48225</v>
      </c>
      <c r="Z7" s="2">
        <f t="shared" si="3"/>
        <v>5825</v>
      </c>
      <c r="AA7" s="2">
        <f t="shared" si="3"/>
        <v>43650</v>
      </c>
      <c r="AB7" s="2">
        <f t="shared" si="3"/>
        <v>-107650</v>
      </c>
      <c r="AC7" s="2">
        <f t="shared" si="3"/>
        <v>-69825</v>
      </c>
      <c r="AD7" s="2">
        <f t="shared" si="3"/>
        <v>27425</v>
      </c>
      <c r="AE7" s="2">
        <f t="shared" si="3"/>
        <v>86850</v>
      </c>
      <c r="AF7" s="2">
        <f t="shared" si="3"/>
        <v>-150850</v>
      </c>
      <c r="AG7" s="2">
        <f t="shared" si="3"/>
        <v>-91425</v>
      </c>
      <c r="AH7" s="2">
        <f t="shared" si="3"/>
        <v>49025</v>
      </c>
      <c r="AI7" s="2">
        <f t="shared" si="3"/>
        <v>130050</v>
      </c>
      <c r="AJ7" s="2">
        <f t="shared" si="3"/>
        <v>-194050</v>
      </c>
      <c r="AK7" s="2">
        <f t="shared" si="3"/>
        <v>-113025</v>
      </c>
      <c r="AL7" s="2">
        <f>AL2*(IF+xmax)-(IF-(G+IF_BW/2))</f>
        <v>32450</v>
      </c>
      <c r="AM7" s="2">
        <f>AM2*(IF+xmax)-(IF-(G+IF_BW/2))</f>
        <v>75650</v>
      </c>
      <c r="AN7" s="2">
        <f>AN2*(IF+xmax)-(IF-(G+IF_BW/2))</f>
        <v>118850</v>
      </c>
      <c r="AO7" s="2">
        <f>AO2*(IF+xmax)-(IF-(G+IF_BW/2))</f>
        <v>162050</v>
      </c>
      <c r="AQ7" s="5"/>
      <c r="AR7" s="5"/>
      <c r="AS7" s="2"/>
      <c r="AT7" s="5"/>
      <c r="AU7" s="5"/>
      <c r="AV7" s="2"/>
      <c r="AW7" s="5"/>
      <c r="AX7" s="5"/>
      <c r="AY7" s="2"/>
      <c r="AZ7" s="5"/>
      <c r="BA7" s="5"/>
      <c r="BC7" s="2"/>
      <c r="BD7" s="2"/>
    </row>
    <row r="9" spans="1:56" x14ac:dyDescent="0.2">
      <c r="G9" s="20" t="s">
        <v>1</v>
      </c>
      <c r="H9" s="28">
        <v>300</v>
      </c>
      <c r="I9" s="21" t="s">
        <v>0</v>
      </c>
    </row>
    <row r="10" spans="1:56" x14ac:dyDescent="0.2">
      <c r="B10" s="25" t="s">
        <v>9</v>
      </c>
      <c r="C10" s="26">
        <v>11200</v>
      </c>
      <c r="D10" s="27" t="s">
        <v>0</v>
      </c>
      <c r="G10" s="22" t="s">
        <v>7</v>
      </c>
      <c r="H10" s="23">
        <v>300</v>
      </c>
      <c r="I10" s="24" t="s">
        <v>0</v>
      </c>
      <c r="L10" s="40" t="s">
        <v>4</v>
      </c>
      <c r="M10" s="41">
        <f>RFmax-RFmin</f>
        <v>4500</v>
      </c>
      <c r="N10" s="29" t="s">
        <v>0</v>
      </c>
    </row>
    <row r="12" spans="1:56" x14ac:dyDescent="0.2">
      <c r="O12" s="7"/>
    </row>
    <row r="13" spans="1:56" x14ac:dyDescent="0.2">
      <c r="O13" s="7"/>
    </row>
    <row r="14" spans="1:56" x14ac:dyDescent="0.2">
      <c r="O14" s="7"/>
    </row>
    <row r="17" spans="16:20" x14ac:dyDescent="0.2">
      <c r="P17" s="2"/>
      <c r="Q17" s="2"/>
      <c r="R17" s="2"/>
      <c r="S17" s="2"/>
      <c r="T17" s="2"/>
    </row>
    <row r="22" spans="16:20" x14ac:dyDescent="0.2">
      <c r="P22" s="2"/>
      <c r="Q22" s="2"/>
      <c r="R22" s="2"/>
      <c r="S22" s="2"/>
      <c r="T22" s="39"/>
    </row>
    <row r="23" spans="16:20" x14ac:dyDescent="0.2">
      <c r="P23" s="2"/>
      <c r="Q23" s="2"/>
      <c r="R23" s="2"/>
      <c r="S23" s="2"/>
      <c r="T23" s="2"/>
    </row>
    <row r="24" spans="16:20" x14ac:dyDescent="0.2">
      <c r="P24" s="2"/>
      <c r="Q24" s="2"/>
      <c r="R24" s="2"/>
      <c r="S24" s="2"/>
      <c r="T24" s="2"/>
    </row>
    <row r="25" spans="16:20" x14ac:dyDescent="0.2">
      <c r="P25" s="2"/>
      <c r="Q25" s="2"/>
      <c r="R25" s="2"/>
      <c r="S25" s="2"/>
      <c r="T25" s="2"/>
    </row>
    <row r="26" spans="16:20" x14ac:dyDescent="0.2">
      <c r="P26" s="2"/>
      <c r="Q26" s="2"/>
      <c r="R26" s="2"/>
      <c r="S26" s="2"/>
      <c r="T26" s="2"/>
    </row>
    <row r="37" spans="2:14" x14ac:dyDescent="0.2">
      <c r="B37" s="18"/>
      <c r="C37" s="6"/>
      <c r="D37" s="19"/>
      <c r="E37" s="6"/>
    </row>
    <row r="38" spans="2:14" x14ac:dyDescent="0.2">
      <c r="C38" s="20" t="s">
        <v>11</v>
      </c>
      <c r="D38" s="28">
        <v>6000</v>
      </c>
      <c r="E38" s="21" t="s">
        <v>0</v>
      </c>
      <c r="H38" s="40" t="s">
        <v>19</v>
      </c>
      <c r="I38" s="41">
        <f>IF-IF_BW/2</f>
        <v>11050</v>
      </c>
      <c r="J38" s="29" t="s">
        <v>0</v>
      </c>
      <c r="L38" s="40" t="s">
        <v>17</v>
      </c>
      <c r="M38" s="41">
        <f>(RFmin+IF_BW/2)+IF</f>
        <v>17350</v>
      </c>
      <c r="N38" s="29" t="s">
        <v>0</v>
      </c>
    </row>
    <row r="39" spans="2:14" x14ac:dyDescent="0.2">
      <c r="C39" s="22" t="s">
        <v>10</v>
      </c>
      <c r="D39" s="23">
        <v>10500</v>
      </c>
      <c r="E39" s="24" t="s">
        <v>0</v>
      </c>
      <c r="H39" s="40" t="s">
        <v>20</v>
      </c>
      <c r="I39" s="41">
        <f>IF+IF_BW/2</f>
        <v>11350</v>
      </c>
      <c r="J39" s="29" t="s">
        <v>0</v>
      </c>
      <c r="L39" s="40" t="s">
        <v>18</v>
      </c>
      <c r="M39" s="41">
        <f>(RFmax-IF_BW/2)+IF</f>
        <v>21550</v>
      </c>
      <c r="N39" s="29" t="s">
        <v>0</v>
      </c>
    </row>
    <row r="40" spans="2:14" x14ac:dyDescent="0.2">
      <c r="L40" s="1"/>
    </row>
    <row r="41" spans="2:14" x14ac:dyDescent="0.2">
      <c r="C41" s="34"/>
      <c r="D41" s="34"/>
      <c r="E41" s="33"/>
      <c r="F41" s="34"/>
      <c r="G41" s="34"/>
    </row>
    <row r="42" spans="2:14" x14ac:dyDescent="0.2">
      <c r="C42" s="7"/>
      <c r="D42" s="35"/>
      <c r="E42" s="33"/>
      <c r="F42" s="34"/>
      <c r="G42" s="34"/>
    </row>
    <row r="43" spans="2:14" x14ac:dyDescent="0.2">
      <c r="C43" s="34"/>
      <c r="D43" s="34"/>
      <c r="E43" s="34"/>
      <c r="F43" s="34"/>
      <c r="G43" s="7"/>
      <c r="H43" s="4"/>
    </row>
    <row r="44" spans="2:14" x14ac:dyDescent="0.2">
      <c r="C44" s="34"/>
      <c r="D44" s="34"/>
      <c r="E44" s="34"/>
      <c r="F44" s="36"/>
      <c r="G44" s="34"/>
    </row>
    <row r="45" spans="2:14" x14ac:dyDescent="0.2">
      <c r="C45" s="34"/>
      <c r="D45" s="34"/>
      <c r="E45" s="34"/>
      <c r="F45" s="36"/>
      <c r="G45" s="34"/>
    </row>
    <row r="46" spans="2:14" x14ac:dyDescent="0.2">
      <c r="C46" s="34"/>
      <c r="D46" s="34"/>
      <c r="E46" s="34"/>
      <c r="F46" s="34"/>
      <c r="G46" s="34"/>
    </row>
    <row r="47" spans="2:14" x14ac:dyDescent="0.2">
      <c r="C47" s="34"/>
      <c r="D47" s="34"/>
      <c r="E47" s="34"/>
      <c r="F47" s="34"/>
      <c r="G47" s="34"/>
    </row>
  </sheetData>
  <mergeCells count="2">
    <mergeCell ref="BC2:BD2"/>
    <mergeCell ref="AQ2:BA2"/>
  </mergeCells>
  <phoneticPr fontId="2" type="noConversion"/>
  <conditionalFormatting sqref="C10">
    <cfRule type="expression" dxfId="5" priority="3">
      <formula>$M$38&lt;0</formula>
    </cfRule>
  </conditionalFormatting>
  <conditionalFormatting sqref="E10">
    <cfRule type="expression" dxfId="4" priority="2">
      <formula>$M$38&lt;0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workbookViewId="0">
      <pane xSplit="1" topLeftCell="B1" activePane="topRight" state="frozen"/>
      <selection pane="topRight" activeCell="E10" sqref="E10"/>
    </sheetView>
  </sheetViews>
  <sheetFormatPr defaultColWidth="11.42578125" defaultRowHeight="12.75" x14ac:dyDescent="0.2"/>
  <cols>
    <col min="1" max="1" width="8.42578125" bestFit="1" customWidth="1"/>
    <col min="2" max="2" width="11" customWidth="1"/>
    <col min="3" max="3" width="10" customWidth="1"/>
    <col min="4" max="4" width="10.42578125" customWidth="1"/>
    <col min="5" max="5" width="10.7109375" customWidth="1"/>
    <col min="6" max="6" width="10.28515625" customWidth="1"/>
    <col min="7" max="7" width="11.7109375" customWidth="1"/>
    <col min="8" max="8" width="11.28515625" customWidth="1"/>
    <col min="42" max="42" width="1.85546875" customWidth="1"/>
    <col min="45" max="45" width="1.5703125" customWidth="1"/>
    <col min="48" max="48" width="2" customWidth="1"/>
    <col min="51" max="51" width="2.85546875" customWidth="1"/>
    <col min="54" max="54" width="2.7109375" customWidth="1"/>
  </cols>
  <sheetData>
    <row r="1" spans="1:56" x14ac:dyDescent="0.2">
      <c r="A1" s="37" t="s">
        <v>6</v>
      </c>
      <c r="B1" s="8">
        <v>-2</v>
      </c>
      <c r="C1" s="9">
        <v>-1</v>
      </c>
      <c r="D1" s="9">
        <v>1</v>
      </c>
      <c r="E1" s="10">
        <v>2</v>
      </c>
      <c r="F1" s="8">
        <v>-2</v>
      </c>
      <c r="G1" s="9">
        <v>-1</v>
      </c>
      <c r="H1" s="9">
        <v>1</v>
      </c>
      <c r="I1" s="10">
        <v>2</v>
      </c>
      <c r="J1" s="8">
        <v>-2</v>
      </c>
      <c r="K1" s="9">
        <v>-1</v>
      </c>
      <c r="L1" s="9">
        <v>1</v>
      </c>
      <c r="M1" s="10">
        <v>2</v>
      </c>
      <c r="N1" s="8">
        <v>-2</v>
      </c>
      <c r="O1" s="9">
        <v>-1</v>
      </c>
      <c r="P1" s="9">
        <v>1</v>
      </c>
      <c r="Q1" s="10">
        <v>2</v>
      </c>
      <c r="R1" s="8">
        <v>-2</v>
      </c>
      <c r="S1" s="9">
        <v>-1</v>
      </c>
      <c r="T1" s="9">
        <v>1</v>
      </c>
      <c r="U1" s="10">
        <v>2</v>
      </c>
      <c r="V1" s="8">
        <v>-2</v>
      </c>
      <c r="W1" s="9">
        <v>-1</v>
      </c>
      <c r="X1" s="9">
        <v>1</v>
      </c>
      <c r="Y1" s="10">
        <v>2</v>
      </c>
      <c r="Z1" s="8">
        <v>-2</v>
      </c>
      <c r="AA1" s="9">
        <v>-1</v>
      </c>
      <c r="AB1" s="9">
        <v>1</v>
      </c>
      <c r="AC1" s="10">
        <v>2</v>
      </c>
      <c r="AD1" s="8">
        <v>-2</v>
      </c>
      <c r="AE1" s="9">
        <v>-1</v>
      </c>
      <c r="AF1" s="9">
        <v>1</v>
      </c>
      <c r="AG1" s="10">
        <v>2</v>
      </c>
      <c r="AH1" s="8">
        <v>-2</v>
      </c>
      <c r="AI1" s="9">
        <v>-1</v>
      </c>
      <c r="AJ1" s="9">
        <v>1</v>
      </c>
      <c r="AK1" s="9">
        <v>2</v>
      </c>
      <c r="AL1" s="9">
        <v>0</v>
      </c>
      <c r="AM1" s="9">
        <v>0</v>
      </c>
      <c r="AN1" s="9">
        <v>0</v>
      </c>
      <c r="AO1" s="10">
        <v>0</v>
      </c>
      <c r="AP1" s="2"/>
      <c r="AQ1" s="2"/>
      <c r="AR1" s="2"/>
      <c r="AS1" s="2"/>
      <c r="AT1" s="2"/>
      <c r="AU1" s="2"/>
      <c r="AV1" s="2"/>
    </row>
    <row r="2" spans="1:56" x14ac:dyDescent="0.2">
      <c r="A2" s="37" t="s">
        <v>5</v>
      </c>
      <c r="B2" s="11">
        <v>-4</v>
      </c>
      <c r="C2" s="12">
        <f>B2</f>
        <v>-4</v>
      </c>
      <c r="D2" s="12">
        <f>C2</f>
        <v>-4</v>
      </c>
      <c r="E2" s="13">
        <f>D2</f>
        <v>-4</v>
      </c>
      <c r="F2" s="11">
        <v>-3</v>
      </c>
      <c r="G2" s="12">
        <f>F2</f>
        <v>-3</v>
      </c>
      <c r="H2" s="12">
        <f>G2</f>
        <v>-3</v>
      </c>
      <c r="I2" s="13">
        <f>H2</f>
        <v>-3</v>
      </c>
      <c r="J2" s="11">
        <v>-2</v>
      </c>
      <c r="K2" s="12">
        <f>J2</f>
        <v>-2</v>
      </c>
      <c r="L2" s="12">
        <f>K2</f>
        <v>-2</v>
      </c>
      <c r="M2" s="13">
        <f>L2</f>
        <v>-2</v>
      </c>
      <c r="N2" s="11">
        <v>-1</v>
      </c>
      <c r="O2" s="12">
        <f>N2</f>
        <v>-1</v>
      </c>
      <c r="P2" s="12">
        <f>O2</f>
        <v>-1</v>
      </c>
      <c r="Q2" s="13">
        <f>P2</f>
        <v>-1</v>
      </c>
      <c r="R2" s="11">
        <v>0</v>
      </c>
      <c r="S2" s="12">
        <f>R2</f>
        <v>0</v>
      </c>
      <c r="T2" s="12">
        <f>S2</f>
        <v>0</v>
      </c>
      <c r="U2" s="13">
        <f>T2</f>
        <v>0</v>
      </c>
      <c r="V2" s="11">
        <v>1</v>
      </c>
      <c r="W2" s="12">
        <f>V2</f>
        <v>1</v>
      </c>
      <c r="X2" s="12">
        <f>W2</f>
        <v>1</v>
      </c>
      <c r="Y2" s="13">
        <f>X2</f>
        <v>1</v>
      </c>
      <c r="Z2" s="11">
        <v>2</v>
      </c>
      <c r="AA2" s="12">
        <f>Z2</f>
        <v>2</v>
      </c>
      <c r="AB2" s="12">
        <f>AA2</f>
        <v>2</v>
      </c>
      <c r="AC2" s="13">
        <f>AB2</f>
        <v>2</v>
      </c>
      <c r="AD2" s="11">
        <v>3</v>
      </c>
      <c r="AE2" s="12">
        <f>AD2</f>
        <v>3</v>
      </c>
      <c r="AF2" s="12">
        <f>AE2</f>
        <v>3</v>
      </c>
      <c r="AG2" s="13">
        <f>AF2</f>
        <v>3</v>
      </c>
      <c r="AH2" s="11">
        <v>4</v>
      </c>
      <c r="AI2" s="12">
        <f>AH2</f>
        <v>4</v>
      </c>
      <c r="AJ2" s="12">
        <f>AI2</f>
        <v>4</v>
      </c>
      <c r="AK2" s="12">
        <f>AJ2</f>
        <v>4</v>
      </c>
      <c r="AL2" s="12">
        <v>1</v>
      </c>
      <c r="AM2" s="12">
        <v>2</v>
      </c>
      <c r="AN2" s="12">
        <v>3</v>
      </c>
      <c r="AO2" s="13">
        <v>4</v>
      </c>
      <c r="AP2" s="2"/>
      <c r="AQ2" s="49" t="s">
        <v>16</v>
      </c>
      <c r="AR2" s="49"/>
      <c r="AS2" s="49"/>
      <c r="AT2" s="49"/>
      <c r="AU2" s="49"/>
      <c r="AV2" s="49"/>
      <c r="AW2" s="49"/>
      <c r="AX2" s="49"/>
      <c r="AY2" s="49"/>
      <c r="AZ2" s="49"/>
      <c r="BA2" s="49"/>
      <c r="BC2" s="48" t="s">
        <v>49</v>
      </c>
      <c r="BD2" s="48"/>
    </row>
    <row r="3" spans="1:56" x14ac:dyDescent="0.2">
      <c r="A3" s="37" t="s">
        <v>51</v>
      </c>
      <c r="B3" s="3" t="s">
        <v>21</v>
      </c>
      <c r="C3" s="3" t="s">
        <v>22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3" t="s">
        <v>33</v>
      </c>
      <c r="K3" s="3" t="s">
        <v>32</v>
      </c>
      <c r="L3" s="3" t="s">
        <v>34</v>
      </c>
      <c r="M3" s="3" t="s">
        <v>35</v>
      </c>
      <c r="N3" s="3" t="s">
        <v>31</v>
      </c>
      <c r="O3" s="3" t="s">
        <v>36</v>
      </c>
      <c r="P3" s="3" t="s">
        <v>37</v>
      </c>
      <c r="Q3" s="3" t="s">
        <v>38</v>
      </c>
      <c r="R3" s="3" t="s">
        <v>39</v>
      </c>
      <c r="S3" s="3" t="s">
        <v>2</v>
      </c>
      <c r="T3" s="3" t="s">
        <v>2</v>
      </c>
      <c r="U3" s="3" t="s">
        <v>39</v>
      </c>
      <c r="V3" s="3" t="s">
        <v>40</v>
      </c>
      <c r="W3" s="3" t="s">
        <v>55</v>
      </c>
      <c r="X3" s="3" t="s">
        <v>36</v>
      </c>
      <c r="Y3" s="3" t="s">
        <v>31</v>
      </c>
      <c r="Z3" s="3" t="s">
        <v>42</v>
      </c>
      <c r="AA3" s="3" t="s">
        <v>43</v>
      </c>
      <c r="AB3" s="3" t="s">
        <v>32</v>
      </c>
      <c r="AC3" s="3" t="s">
        <v>33</v>
      </c>
      <c r="AD3" s="3" t="s">
        <v>44</v>
      </c>
      <c r="AE3" s="3" t="s">
        <v>45</v>
      </c>
      <c r="AF3" s="3" t="s">
        <v>28</v>
      </c>
      <c r="AG3" s="3" t="s">
        <v>27</v>
      </c>
      <c r="AH3" s="3" t="s">
        <v>24</v>
      </c>
      <c r="AI3" s="3" t="s">
        <v>23</v>
      </c>
      <c r="AJ3" s="3" t="s">
        <v>22</v>
      </c>
      <c r="AK3" s="3" t="s">
        <v>21</v>
      </c>
      <c r="AL3" s="3" t="s">
        <v>3</v>
      </c>
      <c r="AM3" s="3" t="s">
        <v>46</v>
      </c>
      <c r="AN3" s="3" t="s">
        <v>47</v>
      </c>
      <c r="AO3" s="3" t="s">
        <v>48</v>
      </c>
      <c r="AP3" s="3"/>
      <c r="AQ3" s="14" t="s">
        <v>8</v>
      </c>
      <c r="AR3" s="15" t="s">
        <v>12</v>
      </c>
      <c r="AS3" s="3"/>
      <c r="AT3" s="14" t="s">
        <v>8</v>
      </c>
      <c r="AU3" s="15" t="s">
        <v>13</v>
      </c>
      <c r="AV3" s="3"/>
      <c r="AW3" s="14" t="s">
        <v>8</v>
      </c>
      <c r="AX3" s="15" t="s">
        <v>14</v>
      </c>
      <c r="AY3" s="3"/>
      <c r="AZ3" s="14" t="s">
        <v>8</v>
      </c>
      <c r="BA3" s="15" t="s">
        <v>15</v>
      </c>
      <c r="BC3" s="31" t="s">
        <v>8</v>
      </c>
      <c r="BD3" s="32" t="s">
        <v>50</v>
      </c>
    </row>
    <row r="4" spans="1:56" x14ac:dyDescent="0.2">
      <c r="A4" s="50">
        <v>0</v>
      </c>
      <c r="B4" s="2">
        <f t="shared" ref="B4:AK4" si="0">((1+B2)*IF+G+IF_BW/2-(B2+B1)*xmin)/B1</f>
        <v>28575</v>
      </c>
      <c r="C4" s="2">
        <f t="shared" si="0"/>
        <v>57150</v>
      </c>
      <c r="D4" s="2">
        <f t="shared" si="0"/>
        <v>-57150</v>
      </c>
      <c r="E4" s="2">
        <f t="shared" si="0"/>
        <v>-28575</v>
      </c>
      <c r="F4" s="2">
        <f t="shared" si="0"/>
        <v>18975</v>
      </c>
      <c r="G4" s="2">
        <f t="shared" si="0"/>
        <v>37950</v>
      </c>
      <c r="H4" s="2">
        <f t="shared" si="0"/>
        <v>-37950</v>
      </c>
      <c r="I4" s="2">
        <f t="shared" si="0"/>
        <v>-18975</v>
      </c>
      <c r="J4" s="2">
        <f t="shared" si="0"/>
        <v>9375</v>
      </c>
      <c r="K4" s="2">
        <f t="shared" si="0"/>
        <v>18750</v>
      </c>
      <c r="L4" s="2">
        <f t="shared" si="0"/>
        <v>-18750</v>
      </c>
      <c r="M4" s="2">
        <f t="shared" si="0"/>
        <v>-9375</v>
      </c>
      <c r="N4" s="2">
        <f t="shared" si="0"/>
        <v>-225</v>
      </c>
      <c r="O4" s="2">
        <f t="shared" si="0"/>
        <v>-450</v>
      </c>
      <c r="P4" s="2">
        <f t="shared" si="0"/>
        <v>450</v>
      </c>
      <c r="Q4" s="2">
        <f t="shared" si="0"/>
        <v>225</v>
      </c>
      <c r="R4" s="2">
        <f t="shared" si="0"/>
        <v>-9825</v>
      </c>
      <c r="S4" s="2">
        <f t="shared" si="0"/>
        <v>-19650</v>
      </c>
      <c r="T4" s="2">
        <f t="shared" si="0"/>
        <v>19650</v>
      </c>
      <c r="U4" s="2">
        <f t="shared" si="0"/>
        <v>9825</v>
      </c>
      <c r="V4" s="2">
        <f t="shared" si="0"/>
        <v>-19425</v>
      </c>
      <c r="W4" s="2">
        <f t="shared" si="0"/>
        <v>-38850</v>
      </c>
      <c r="X4" s="2">
        <f t="shared" si="0"/>
        <v>38850</v>
      </c>
      <c r="Y4" s="2">
        <f t="shared" si="0"/>
        <v>19425</v>
      </c>
      <c r="Z4" s="2">
        <f t="shared" si="0"/>
        <v>-29025</v>
      </c>
      <c r="AA4" s="2">
        <f t="shared" si="0"/>
        <v>-58050</v>
      </c>
      <c r="AB4" s="2">
        <f t="shared" si="0"/>
        <v>58050</v>
      </c>
      <c r="AC4" s="2">
        <f t="shared" si="0"/>
        <v>29025</v>
      </c>
      <c r="AD4" s="2">
        <f t="shared" si="0"/>
        <v>-38625</v>
      </c>
      <c r="AE4" s="2">
        <f t="shared" si="0"/>
        <v>-77250</v>
      </c>
      <c r="AF4" s="2">
        <f t="shared" si="0"/>
        <v>77250</v>
      </c>
      <c r="AG4" s="2">
        <f t="shared" si="0"/>
        <v>38625</v>
      </c>
      <c r="AH4" s="2">
        <f t="shared" si="0"/>
        <v>-48225</v>
      </c>
      <c r="AI4" s="2">
        <f t="shared" si="0"/>
        <v>-96450</v>
      </c>
      <c r="AJ4" s="2">
        <f t="shared" si="0"/>
        <v>96450</v>
      </c>
      <c r="AK4" s="2">
        <f t="shared" si="0"/>
        <v>48225</v>
      </c>
      <c r="AL4" s="2">
        <f>AL2*(-IF+xmin)-(IF+(G+IF_BW/2))</f>
        <v>-38850</v>
      </c>
      <c r="AM4" s="2">
        <f>AM2*(-IF+xmin)-(IF+(G+IF_BW/2))</f>
        <v>-58050</v>
      </c>
      <c r="AN4" s="2">
        <f>AN2*(-IF+xmin)-(IF+(G+IF_BW/2))</f>
        <v>-77250</v>
      </c>
      <c r="AO4" s="2">
        <f>AO2*(-IF+xmin)-(IF+(G+IF_BW/2))</f>
        <v>-96450</v>
      </c>
      <c r="AQ4" s="16">
        <f>RFmin+IF_BW/2</f>
        <v>21650</v>
      </c>
      <c r="AR4" s="17">
        <f>RF_BW-IF_BW/2</f>
        <v>1850</v>
      </c>
      <c r="AS4" s="2"/>
      <c r="AT4" s="16">
        <f>RFmin+IF_BW/2</f>
        <v>21650</v>
      </c>
      <c r="AU4" s="17">
        <f>-IF_BW/2</f>
        <v>-150</v>
      </c>
      <c r="AV4" s="2"/>
      <c r="AW4" s="16">
        <f>RFmin+IF_BW/2</f>
        <v>21650</v>
      </c>
      <c r="AX4" s="17">
        <f>RF_BW-IF_BW/2</f>
        <v>1850</v>
      </c>
      <c r="AY4" s="2"/>
      <c r="AZ4" s="16">
        <f>RFmax-IF_BW/2</f>
        <v>23350</v>
      </c>
      <c r="BA4" s="17">
        <f>-RF_BW+IF_BW/2</f>
        <v>-1850</v>
      </c>
      <c r="BC4" s="16">
        <f>IF</f>
        <v>19200</v>
      </c>
      <c r="BD4" s="17">
        <v>-32000</v>
      </c>
    </row>
    <row r="5" spans="1:56" x14ac:dyDescent="0.2">
      <c r="A5" s="51">
        <v>32000</v>
      </c>
      <c r="B5" s="2">
        <f t="shared" ref="B5:AK5" si="1">((1+B2)*IF+G+IF_BW/2-(B2+B1)*xmax)/B1</f>
        <v>-67425</v>
      </c>
      <c r="C5" s="2">
        <f t="shared" si="1"/>
        <v>-102850</v>
      </c>
      <c r="D5" s="2">
        <f t="shared" si="1"/>
        <v>38850</v>
      </c>
      <c r="E5" s="2">
        <f t="shared" si="1"/>
        <v>3425</v>
      </c>
      <c r="F5" s="2">
        <f t="shared" si="1"/>
        <v>-61025</v>
      </c>
      <c r="G5" s="2">
        <f t="shared" si="1"/>
        <v>-90050</v>
      </c>
      <c r="H5" s="2">
        <f t="shared" si="1"/>
        <v>26050</v>
      </c>
      <c r="I5" s="2">
        <f t="shared" si="1"/>
        <v>-2975</v>
      </c>
      <c r="J5" s="2">
        <f t="shared" si="1"/>
        <v>-54625</v>
      </c>
      <c r="K5" s="2">
        <f t="shared" si="1"/>
        <v>-77250</v>
      </c>
      <c r="L5" s="2">
        <f t="shared" si="1"/>
        <v>13250</v>
      </c>
      <c r="M5" s="2">
        <f t="shared" si="1"/>
        <v>-9375</v>
      </c>
      <c r="N5" s="2">
        <f t="shared" si="1"/>
        <v>-48225</v>
      </c>
      <c r="O5" s="2">
        <f t="shared" si="1"/>
        <v>-64450</v>
      </c>
      <c r="P5" s="2">
        <f t="shared" si="1"/>
        <v>450</v>
      </c>
      <c r="Q5" s="2">
        <f t="shared" si="1"/>
        <v>-15775</v>
      </c>
      <c r="R5" s="2">
        <f t="shared" si="1"/>
        <v>-41825</v>
      </c>
      <c r="S5" s="2">
        <f t="shared" si="1"/>
        <v>-51650</v>
      </c>
      <c r="T5" s="2">
        <f t="shared" si="1"/>
        <v>-12350</v>
      </c>
      <c r="U5" s="2">
        <f t="shared" si="1"/>
        <v>-22175</v>
      </c>
      <c r="V5" s="2">
        <f t="shared" si="1"/>
        <v>-35425</v>
      </c>
      <c r="W5" s="2">
        <f t="shared" si="1"/>
        <v>-38850</v>
      </c>
      <c r="X5" s="2">
        <f t="shared" si="1"/>
        <v>-25150</v>
      </c>
      <c r="Y5" s="2">
        <f t="shared" si="1"/>
        <v>-28575</v>
      </c>
      <c r="Z5" s="2">
        <f t="shared" si="1"/>
        <v>-29025</v>
      </c>
      <c r="AA5" s="2">
        <f t="shared" si="1"/>
        <v>-26050</v>
      </c>
      <c r="AB5" s="2">
        <f t="shared" si="1"/>
        <v>-37950</v>
      </c>
      <c r="AC5" s="2">
        <f t="shared" si="1"/>
        <v>-34975</v>
      </c>
      <c r="AD5" s="2">
        <f t="shared" si="1"/>
        <v>-22625</v>
      </c>
      <c r="AE5" s="2">
        <f t="shared" si="1"/>
        <v>-13250</v>
      </c>
      <c r="AF5" s="2">
        <f t="shared" si="1"/>
        <v>-50750</v>
      </c>
      <c r="AG5" s="2">
        <f t="shared" si="1"/>
        <v>-41375</v>
      </c>
      <c r="AH5" s="2">
        <f t="shared" si="1"/>
        <v>-16225</v>
      </c>
      <c r="AI5" s="2">
        <f t="shared" si="1"/>
        <v>-450</v>
      </c>
      <c r="AJ5" s="2">
        <f t="shared" si="1"/>
        <v>-63550</v>
      </c>
      <c r="AK5" s="2">
        <f t="shared" si="1"/>
        <v>-47775</v>
      </c>
      <c r="AL5" s="2">
        <f>AL2*(-IF+xmax)-(IF+(G+IF_BW/2))</f>
        <v>-6850</v>
      </c>
      <c r="AM5" s="2">
        <f>AM2*(-IF+xmax)-(IF+(G+IF_BW/2))</f>
        <v>5950</v>
      </c>
      <c r="AN5" s="2">
        <f>AN2*(-IF+xmax)-(IF+(G+IF_BW/2))</f>
        <v>18750</v>
      </c>
      <c r="AO5" s="2">
        <f>AO2*(-IF+xmax)-(IF+(G+IF_BW/2))</f>
        <v>31550</v>
      </c>
      <c r="AQ5" s="11">
        <f>RFmax-IF_BW/2</f>
        <v>23350</v>
      </c>
      <c r="AR5" s="13">
        <f>IF_BW/2</f>
        <v>150</v>
      </c>
      <c r="AS5" s="2"/>
      <c r="AT5" s="11">
        <f>RFmax-IF_BW/2</f>
        <v>23350</v>
      </c>
      <c r="AU5" s="13">
        <f>-RF_BW+IF_BW/2</f>
        <v>-1850</v>
      </c>
      <c r="AV5" s="2"/>
      <c r="AW5" s="11">
        <f>RFmin+IF_BW/2</f>
        <v>21650</v>
      </c>
      <c r="AX5" s="13">
        <f>-IF_BW/2</f>
        <v>-150</v>
      </c>
      <c r="AY5" s="2"/>
      <c r="AZ5" s="11">
        <f>RFmax-IF_BW/2</f>
        <v>23350</v>
      </c>
      <c r="BA5" s="13">
        <f>IF_BW/2</f>
        <v>150</v>
      </c>
      <c r="BC5" s="11">
        <f>IF</f>
        <v>19200</v>
      </c>
      <c r="BD5" s="13">
        <v>32000</v>
      </c>
    </row>
    <row r="6" spans="1:56" x14ac:dyDescent="0.2">
      <c r="A6" s="29">
        <f>xmin</f>
        <v>0</v>
      </c>
      <c r="B6" s="2">
        <f t="shared" ref="B6:AK6" si="2">((1+B2)*IF-G-IF_BW/2-(B2+B1)*xmin)/B1</f>
        <v>29025</v>
      </c>
      <c r="C6" s="2">
        <f t="shared" si="2"/>
        <v>58050</v>
      </c>
      <c r="D6" s="2">
        <f t="shared" si="2"/>
        <v>-58050</v>
      </c>
      <c r="E6" s="2">
        <f t="shared" si="2"/>
        <v>-29025</v>
      </c>
      <c r="F6" s="2">
        <f t="shared" si="2"/>
        <v>19425</v>
      </c>
      <c r="G6" s="2">
        <f t="shared" si="2"/>
        <v>38850</v>
      </c>
      <c r="H6" s="2">
        <f t="shared" si="2"/>
        <v>-38850</v>
      </c>
      <c r="I6" s="2">
        <f t="shared" si="2"/>
        <v>-19425</v>
      </c>
      <c r="J6" s="2">
        <f t="shared" si="2"/>
        <v>9825</v>
      </c>
      <c r="K6" s="2">
        <f t="shared" si="2"/>
        <v>19650</v>
      </c>
      <c r="L6" s="2">
        <f t="shared" si="2"/>
        <v>-19650</v>
      </c>
      <c r="M6" s="2">
        <f t="shared" si="2"/>
        <v>-9825</v>
      </c>
      <c r="N6" s="2">
        <f t="shared" si="2"/>
        <v>225</v>
      </c>
      <c r="O6" s="2">
        <f t="shared" si="2"/>
        <v>450</v>
      </c>
      <c r="P6" s="2">
        <f t="shared" si="2"/>
        <v>-450</v>
      </c>
      <c r="Q6" s="2">
        <f t="shared" si="2"/>
        <v>-225</v>
      </c>
      <c r="R6" s="2">
        <f t="shared" si="2"/>
        <v>-9375</v>
      </c>
      <c r="S6" s="2">
        <f t="shared" si="2"/>
        <v>-18750</v>
      </c>
      <c r="T6" s="2">
        <f t="shared" si="2"/>
        <v>18750</v>
      </c>
      <c r="U6" s="2">
        <f t="shared" si="2"/>
        <v>9375</v>
      </c>
      <c r="V6" s="2">
        <f t="shared" si="2"/>
        <v>-18975</v>
      </c>
      <c r="W6" s="2">
        <f t="shared" si="2"/>
        <v>-37950</v>
      </c>
      <c r="X6" s="2">
        <f t="shared" si="2"/>
        <v>37950</v>
      </c>
      <c r="Y6" s="2">
        <f t="shared" si="2"/>
        <v>18975</v>
      </c>
      <c r="Z6" s="2">
        <f t="shared" si="2"/>
        <v>-28575</v>
      </c>
      <c r="AA6" s="2">
        <f t="shared" si="2"/>
        <v>-57150</v>
      </c>
      <c r="AB6" s="2">
        <f t="shared" si="2"/>
        <v>57150</v>
      </c>
      <c r="AC6" s="2">
        <f t="shared" si="2"/>
        <v>28575</v>
      </c>
      <c r="AD6" s="2">
        <f t="shared" si="2"/>
        <v>-38175</v>
      </c>
      <c r="AE6" s="2">
        <f t="shared" si="2"/>
        <v>-76350</v>
      </c>
      <c r="AF6" s="2">
        <f t="shared" si="2"/>
        <v>76350</v>
      </c>
      <c r="AG6" s="2">
        <f t="shared" si="2"/>
        <v>38175</v>
      </c>
      <c r="AH6" s="2">
        <f t="shared" si="2"/>
        <v>-47775</v>
      </c>
      <c r="AI6" s="2">
        <f t="shared" si="2"/>
        <v>-95550</v>
      </c>
      <c r="AJ6" s="2">
        <f t="shared" si="2"/>
        <v>95550</v>
      </c>
      <c r="AK6" s="2">
        <f t="shared" si="2"/>
        <v>47775</v>
      </c>
      <c r="AL6" s="2">
        <f>AL2*(-IF+xmin)-(IF-(G+IF_BW/2))</f>
        <v>-37950</v>
      </c>
      <c r="AM6" s="2">
        <f>AM2*(-IF+xmin)-(IF-(G+IF_BW/2))</f>
        <v>-57150</v>
      </c>
      <c r="AN6" s="2">
        <f>AN2*(-IF+xmin)-(IF-(G+IF_BW/2))</f>
        <v>-76350</v>
      </c>
      <c r="AO6" s="2">
        <f>AO2*(-IF+xmin)-(IF-(G+IF_BW/2))</f>
        <v>-95550</v>
      </c>
      <c r="AQ6" s="5"/>
      <c r="AR6" s="5"/>
      <c r="AS6" s="2"/>
      <c r="AT6" s="5"/>
      <c r="AU6" s="5"/>
      <c r="AV6" s="2"/>
      <c r="AW6" s="5"/>
      <c r="AX6" s="5"/>
      <c r="AY6" s="2"/>
      <c r="AZ6" s="5"/>
      <c r="BA6" s="5"/>
      <c r="BC6" s="2"/>
      <c r="BD6" s="2"/>
    </row>
    <row r="7" spans="1:56" x14ac:dyDescent="0.2">
      <c r="A7" s="29">
        <f>xmax</f>
        <v>32000</v>
      </c>
      <c r="B7" s="2">
        <f t="shared" ref="B7:AK7" si="3">((1+B2)*IF-G-IF_BW/2-(B2+B1)*xmax)/B1</f>
        <v>-66975</v>
      </c>
      <c r="C7" s="2">
        <f t="shared" si="3"/>
        <v>-101950</v>
      </c>
      <c r="D7" s="2">
        <f t="shared" si="3"/>
        <v>37950</v>
      </c>
      <c r="E7" s="2">
        <f t="shared" si="3"/>
        <v>2975</v>
      </c>
      <c r="F7" s="2">
        <f t="shared" si="3"/>
        <v>-60575</v>
      </c>
      <c r="G7" s="2">
        <f t="shared" si="3"/>
        <v>-89150</v>
      </c>
      <c r="H7" s="2">
        <f t="shared" si="3"/>
        <v>25150</v>
      </c>
      <c r="I7" s="2">
        <f t="shared" si="3"/>
        <v>-3425</v>
      </c>
      <c r="J7" s="2">
        <f t="shared" si="3"/>
        <v>-54175</v>
      </c>
      <c r="K7" s="2">
        <f t="shared" si="3"/>
        <v>-76350</v>
      </c>
      <c r="L7" s="2">
        <f t="shared" si="3"/>
        <v>12350</v>
      </c>
      <c r="M7" s="2">
        <f t="shared" si="3"/>
        <v>-9825</v>
      </c>
      <c r="N7" s="2">
        <f t="shared" si="3"/>
        <v>-47775</v>
      </c>
      <c r="O7" s="2">
        <f t="shared" si="3"/>
        <v>-63550</v>
      </c>
      <c r="P7" s="2">
        <f t="shared" si="3"/>
        <v>-450</v>
      </c>
      <c r="Q7" s="2">
        <f t="shared" si="3"/>
        <v>-16225</v>
      </c>
      <c r="R7" s="2">
        <f t="shared" si="3"/>
        <v>-41375</v>
      </c>
      <c r="S7" s="2">
        <f t="shared" si="3"/>
        <v>-50750</v>
      </c>
      <c r="T7" s="2">
        <f t="shared" si="3"/>
        <v>-13250</v>
      </c>
      <c r="U7" s="2">
        <f t="shared" si="3"/>
        <v>-22625</v>
      </c>
      <c r="V7" s="2">
        <f t="shared" si="3"/>
        <v>-34975</v>
      </c>
      <c r="W7" s="2">
        <f t="shared" si="3"/>
        <v>-37950</v>
      </c>
      <c r="X7" s="2">
        <f t="shared" si="3"/>
        <v>-26050</v>
      </c>
      <c r="Y7" s="2">
        <f t="shared" si="3"/>
        <v>-29025</v>
      </c>
      <c r="Z7" s="2">
        <f t="shared" si="3"/>
        <v>-28575</v>
      </c>
      <c r="AA7" s="2">
        <f t="shared" si="3"/>
        <v>-25150</v>
      </c>
      <c r="AB7" s="2">
        <f t="shared" si="3"/>
        <v>-38850</v>
      </c>
      <c r="AC7" s="2">
        <f t="shared" si="3"/>
        <v>-35425</v>
      </c>
      <c r="AD7" s="2">
        <f t="shared" si="3"/>
        <v>-22175</v>
      </c>
      <c r="AE7" s="2">
        <f t="shared" si="3"/>
        <v>-12350</v>
      </c>
      <c r="AF7" s="2">
        <f t="shared" si="3"/>
        <v>-51650</v>
      </c>
      <c r="AG7" s="2">
        <f t="shared" si="3"/>
        <v>-41825</v>
      </c>
      <c r="AH7" s="2">
        <f t="shared" si="3"/>
        <v>-15775</v>
      </c>
      <c r="AI7" s="2">
        <f t="shared" si="3"/>
        <v>450</v>
      </c>
      <c r="AJ7" s="2">
        <f t="shared" si="3"/>
        <v>-64450</v>
      </c>
      <c r="AK7" s="2">
        <f t="shared" si="3"/>
        <v>-48225</v>
      </c>
      <c r="AL7" s="2">
        <f>AL2*(-IF+xmax)-(IF-(G+IF_BW/2))</f>
        <v>-5950</v>
      </c>
      <c r="AM7" s="2">
        <f>AM2*(-IF+xmax)-(IF-(G+IF_BW/2))</f>
        <v>6850</v>
      </c>
      <c r="AN7" s="2">
        <f>AN2*(-IF+xmax)-(IF-(G+IF_BW/2))</f>
        <v>19650</v>
      </c>
      <c r="AO7" s="2">
        <f>AO2*(-IF+xmax)-(IF-(G+IF_BW/2))</f>
        <v>32450</v>
      </c>
      <c r="AQ7" s="5"/>
      <c r="AR7" s="5"/>
      <c r="AS7" s="2"/>
      <c r="AT7" s="5"/>
      <c r="AU7" s="5"/>
      <c r="AV7" s="2"/>
      <c r="AW7" s="5"/>
      <c r="AX7" s="5"/>
      <c r="AY7" s="2"/>
      <c r="AZ7" s="5"/>
      <c r="BA7" s="5"/>
      <c r="BC7" s="2"/>
      <c r="BD7" s="2"/>
    </row>
    <row r="9" spans="1:56" x14ac:dyDescent="0.2">
      <c r="G9" s="20" t="s">
        <v>1</v>
      </c>
      <c r="H9" s="28">
        <v>300</v>
      </c>
      <c r="I9" s="21" t="s">
        <v>0</v>
      </c>
    </row>
    <row r="10" spans="1:56" x14ac:dyDescent="0.2">
      <c r="B10" s="25" t="s">
        <v>9</v>
      </c>
      <c r="C10" s="26">
        <v>19200</v>
      </c>
      <c r="D10" s="27" t="s">
        <v>0</v>
      </c>
      <c r="E10" s="3" t="s">
        <v>53</v>
      </c>
      <c r="G10" s="22" t="s">
        <v>7</v>
      </c>
      <c r="H10" s="23">
        <v>300</v>
      </c>
      <c r="I10" s="24" t="s">
        <v>0</v>
      </c>
      <c r="L10" s="40" t="s">
        <v>4</v>
      </c>
      <c r="M10" s="41">
        <f>RFmax-RFmin</f>
        <v>2000</v>
      </c>
      <c r="N10" s="29" t="s">
        <v>0</v>
      </c>
    </row>
    <row r="12" spans="1:56" x14ac:dyDescent="0.2">
      <c r="O12" s="7"/>
    </row>
    <row r="13" spans="1:56" x14ac:dyDescent="0.2">
      <c r="O13" s="7"/>
      <c r="AL13" s="38" t="s">
        <v>52</v>
      </c>
      <c r="AO13" s="38" t="s">
        <v>52</v>
      </c>
    </row>
    <row r="14" spans="1:56" x14ac:dyDescent="0.2">
      <c r="O14" s="7"/>
    </row>
    <row r="17" spans="16:20" x14ac:dyDescent="0.2">
      <c r="P17" s="2"/>
      <c r="Q17" s="2"/>
      <c r="R17" s="2"/>
      <c r="S17" s="2"/>
      <c r="T17" s="2"/>
    </row>
    <row r="22" spans="16:20" x14ac:dyDescent="0.2">
      <c r="P22" s="2"/>
      <c r="Q22" s="2"/>
      <c r="R22" s="2"/>
      <c r="S22" s="2"/>
      <c r="T22" s="39"/>
    </row>
    <row r="23" spans="16:20" x14ac:dyDescent="0.2">
      <c r="P23" s="2"/>
      <c r="Q23" s="2"/>
      <c r="R23" s="2"/>
      <c r="S23" s="2"/>
      <c r="T23" s="2"/>
    </row>
    <row r="24" spans="16:20" x14ac:dyDescent="0.2">
      <c r="P24" s="2"/>
      <c r="Q24" s="2"/>
      <c r="R24" s="2"/>
      <c r="S24" s="2"/>
      <c r="T24" s="2"/>
    </row>
    <row r="25" spans="16:20" x14ac:dyDescent="0.2">
      <c r="P25" s="2"/>
      <c r="Q25" s="2"/>
      <c r="R25" s="2"/>
      <c r="S25" s="2"/>
      <c r="T25" s="2"/>
    </row>
    <row r="26" spans="16:20" x14ac:dyDescent="0.2">
      <c r="P26" s="2"/>
      <c r="Q26" s="2"/>
      <c r="R26" s="2"/>
      <c r="S26" s="2"/>
      <c r="T26" s="2"/>
    </row>
    <row r="28" spans="16:20" x14ac:dyDescent="0.2">
      <c r="P28" s="2"/>
      <c r="Q28" s="2"/>
      <c r="R28" s="2"/>
      <c r="S28" s="2"/>
      <c r="T28" s="2"/>
    </row>
    <row r="29" spans="16:20" x14ac:dyDescent="0.2">
      <c r="P29" s="2"/>
      <c r="Q29" s="2"/>
      <c r="R29" s="2"/>
      <c r="S29" s="2"/>
      <c r="T29" s="2"/>
    </row>
    <row r="37" spans="2:14" x14ac:dyDescent="0.2">
      <c r="B37" s="18"/>
      <c r="C37" s="6"/>
      <c r="D37" s="19"/>
      <c r="E37" s="6"/>
    </row>
    <row r="38" spans="2:14" x14ac:dyDescent="0.2">
      <c r="C38" s="20" t="s">
        <v>11</v>
      </c>
      <c r="D38" s="28">
        <v>21500</v>
      </c>
      <c r="E38" s="21" t="s">
        <v>0</v>
      </c>
      <c r="H38" s="40" t="s">
        <v>19</v>
      </c>
      <c r="I38" s="41">
        <f>IF-IF_BW/2</f>
        <v>19050</v>
      </c>
      <c r="J38" s="29" t="s">
        <v>0</v>
      </c>
      <c r="L38" s="40" t="s">
        <v>17</v>
      </c>
      <c r="M38" s="41">
        <f>(RFmin+IF_BW/2)-IF</f>
        <v>2450</v>
      </c>
      <c r="N38" s="29" t="s">
        <v>0</v>
      </c>
    </row>
    <row r="39" spans="2:14" x14ac:dyDescent="0.2">
      <c r="C39" s="22" t="s">
        <v>10</v>
      </c>
      <c r="D39" s="23">
        <v>23500</v>
      </c>
      <c r="E39" s="24" t="s">
        <v>0</v>
      </c>
      <c r="H39" s="40" t="s">
        <v>20</v>
      </c>
      <c r="I39" s="41">
        <f>IF+IF_BW/2</f>
        <v>19350</v>
      </c>
      <c r="J39" s="29" t="s">
        <v>0</v>
      </c>
      <c r="L39" s="40" t="s">
        <v>18</v>
      </c>
      <c r="M39" s="41">
        <f>(RFmax-IF_BW/2)-IF</f>
        <v>4150</v>
      </c>
      <c r="N39" s="29" t="s">
        <v>0</v>
      </c>
    </row>
    <row r="41" spans="2:14" x14ac:dyDescent="0.2">
      <c r="C41" s="34"/>
      <c r="D41" s="34"/>
      <c r="E41" s="33"/>
      <c r="F41" s="34"/>
      <c r="G41" s="34"/>
    </row>
    <row r="42" spans="2:14" x14ac:dyDescent="0.2">
      <c r="C42" s="7"/>
      <c r="D42" s="35"/>
      <c r="E42" s="33"/>
      <c r="F42" s="34"/>
      <c r="G42" s="34"/>
    </row>
    <row r="43" spans="2:14" x14ac:dyDescent="0.2">
      <c r="C43" s="34"/>
      <c r="D43" s="34"/>
      <c r="E43" s="34"/>
      <c r="F43" s="34"/>
      <c r="G43" s="7"/>
      <c r="H43" s="30"/>
    </row>
    <row r="44" spans="2:14" x14ac:dyDescent="0.2">
      <c r="C44" s="34"/>
      <c r="D44" s="34"/>
      <c r="E44" s="34"/>
      <c r="F44" s="36"/>
      <c r="G44" s="34"/>
    </row>
    <row r="45" spans="2:14" x14ac:dyDescent="0.2">
      <c r="C45" s="34"/>
      <c r="D45" s="34"/>
      <c r="E45" s="34"/>
      <c r="F45" s="36"/>
      <c r="G45" s="34"/>
    </row>
    <row r="46" spans="2:14" x14ac:dyDescent="0.2">
      <c r="C46" s="34"/>
      <c r="D46" s="34"/>
      <c r="E46" s="34"/>
      <c r="F46" s="34"/>
      <c r="G46" s="34"/>
    </row>
    <row r="47" spans="2:14" x14ac:dyDescent="0.2">
      <c r="C47" s="34"/>
      <c r="D47" s="34"/>
      <c r="E47" s="34"/>
      <c r="F47" s="34"/>
      <c r="G47" s="34"/>
    </row>
  </sheetData>
  <mergeCells count="2">
    <mergeCell ref="AQ2:BA2"/>
    <mergeCell ref="BC2:BD2"/>
  </mergeCells>
  <conditionalFormatting sqref="C10">
    <cfRule type="expression" dxfId="3" priority="2">
      <formula>$M$38&lt;0</formula>
    </cfRule>
  </conditionalFormatting>
  <conditionalFormatting sqref="E10">
    <cfRule type="expression" dxfId="2" priority="1">
      <formula>$M$38&lt;0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workbookViewId="0">
      <pane xSplit="1" topLeftCell="B1" activePane="topRight" state="frozen"/>
      <selection pane="topRight" activeCell="E10" sqref="E10"/>
    </sheetView>
  </sheetViews>
  <sheetFormatPr defaultColWidth="11.42578125" defaultRowHeight="12.75" x14ac:dyDescent="0.2"/>
  <cols>
    <col min="1" max="1" width="8.42578125" bestFit="1" customWidth="1"/>
    <col min="2" max="2" width="11" customWidth="1"/>
    <col min="3" max="3" width="10" customWidth="1"/>
    <col min="4" max="4" width="10.42578125" customWidth="1"/>
    <col min="5" max="5" width="10.7109375" customWidth="1"/>
    <col min="6" max="6" width="10.28515625" customWidth="1"/>
    <col min="7" max="7" width="11.7109375" customWidth="1"/>
    <col min="8" max="8" width="11.28515625" customWidth="1"/>
    <col min="42" max="42" width="1.85546875" customWidth="1"/>
    <col min="45" max="45" width="1.5703125" customWidth="1"/>
    <col min="48" max="48" width="2" customWidth="1"/>
    <col min="51" max="51" width="2.85546875" customWidth="1"/>
    <col min="54" max="54" width="2.7109375" customWidth="1"/>
  </cols>
  <sheetData>
    <row r="1" spans="1:56" x14ac:dyDescent="0.2">
      <c r="A1" s="37" t="s">
        <v>6</v>
      </c>
      <c r="B1" s="8">
        <v>-2</v>
      </c>
      <c r="C1" s="9">
        <v>-1</v>
      </c>
      <c r="D1" s="9">
        <v>1</v>
      </c>
      <c r="E1" s="10">
        <v>2</v>
      </c>
      <c r="F1" s="8">
        <v>-2</v>
      </c>
      <c r="G1" s="9">
        <v>-1</v>
      </c>
      <c r="H1" s="9">
        <v>1</v>
      </c>
      <c r="I1" s="10">
        <v>2</v>
      </c>
      <c r="J1" s="8">
        <v>-2</v>
      </c>
      <c r="K1" s="9">
        <v>-1</v>
      </c>
      <c r="L1" s="9">
        <v>1</v>
      </c>
      <c r="M1" s="10">
        <v>2</v>
      </c>
      <c r="N1" s="8">
        <v>-2</v>
      </c>
      <c r="O1" s="9">
        <v>-1</v>
      </c>
      <c r="P1" s="9">
        <v>1</v>
      </c>
      <c r="Q1" s="10">
        <v>2</v>
      </c>
      <c r="R1" s="8">
        <v>-2</v>
      </c>
      <c r="S1" s="9">
        <v>-1</v>
      </c>
      <c r="T1" s="9">
        <v>1</v>
      </c>
      <c r="U1" s="10">
        <v>2</v>
      </c>
      <c r="V1" s="8">
        <v>-2</v>
      </c>
      <c r="W1" s="9">
        <v>-1</v>
      </c>
      <c r="X1" s="9">
        <v>1</v>
      </c>
      <c r="Y1" s="10">
        <v>2</v>
      </c>
      <c r="Z1" s="8">
        <v>-2</v>
      </c>
      <c r="AA1" s="9">
        <v>-1</v>
      </c>
      <c r="AB1" s="9">
        <v>1</v>
      </c>
      <c r="AC1" s="10">
        <v>2</v>
      </c>
      <c r="AD1" s="8">
        <v>-2</v>
      </c>
      <c r="AE1" s="9">
        <v>-1</v>
      </c>
      <c r="AF1" s="9">
        <v>1</v>
      </c>
      <c r="AG1" s="10">
        <v>2</v>
      </c>
      <c r="AH1" s="8">
        <v>-2</v>
      </c>
      <c r="AI1" s="9">
        <v>-1</v>
      </c>
      <c r="AJ1" s="9">
        <v>1</v>
      </c>
      <c r="AK1" s="9">
        <v>2</v>
      </c>
      <c r="AL1" s="9">
        <v>0</v>
      </c>
      <c r="AM1" s="9">
        <v>0</v>
      </c>
      <c r="AN1" s="9">
        <v>0</v>
      </c>
      <c r="AO1" s="10">
        <v>0</v>
      </c>
      <c r="AP1" s="2"/>
      <c r="AQ1" s="2"/>
      <c r="AR1" s="2"/>
      <c r="AS1" s="2"/>
      <c r="AT1" s="2"/>
      <c r="AU1" s="2"/>
      <c r="AV1" s="2"/>
    </row>
    <row r="2" spans="1:56" x14ac:dyDescent="0.2">
      <c r="A2" s="37" t="s">
        <v>5</v>
      </c>
      <c r="B2" s="11">
        <v>-4</v>
      </c>
      <c r="C2" s="12">
        <f>B2</f>
        <v>-4</v>
      </c>
      <c r="D2" s="12">
        <f>C2</f>
        <v>-4</v>
      </c>
      <c r="E2" s="13">
        <f>D2</f>
        <v>-4</v>
      </c>
      <c r="F2" s="11">
        <v>-3</v>
      </c>
      <c r="G2" s="12">
        <f>F2</f>
        <v>-3</v>
      </c>
      <c r="H2" s="12">
        <f>G2</f>
        <v>-3</v>
      </c>
      <c r="I2" s="13">
        <f>H2</f>
        <v>-3</v>
      </c>
      <c r="J2" s="11">
        <v>-2</v>
      </c>
      <c r="K2" s="12">
        <f>J2</f>
        <v>-2</v>
      </c>
      <c r="L2" s="12">
        <f>K2</f>
        <v>-2</v>
      </c>
      <c r="M2" s="13">
        <f>L2</f>
        <v>-2</v>
      </c>
      <c r="N2" s="11">
        <v>-1</v>
      </c>
      <c r="O2" s="12">
        <f>N2</f>
        <v>-1</v>
      </c>
      <c r="P2" s="12">
        <f>O2</f>
        <v>-1</v>
      </c>
      <c r="Q2" s="13">
        <f>P2</f>
        <v>-1</v>
      </c>
      <c r="R2" s="11">
        <v>0</v>
      </c>
      <c r="S2" s="12">
        <f>R2</f>
        <v>0</v>
      </c>
      <c r="T2" s="12">
        <f>S2</f>
        <v>0</v>
      </c>
      <c r="U2" s="13">
        <f>T2</f>
        <v>0</v>
      </c>
      <c r="V2" s="11">
        <v>1</v>
      </c>
      <c r="W2" s="12">
        <f>V2</f>
        <v>1</v>
      </c>
      <c r="X2" s="12">
        <f>W2</f>
        <v>1</v>
      </c>
      <c r="Y2" s="13">
        <f>X2</f>
        <v>1</v>
      </c>
      <c r="Z2" s="11">
        <v>2</v>
      </c>
      <c r="AA2" s="12">
        <f>Z2</f>
        <v>2</v>
      </c>
      <c r="AB2" s="12">
        <f>AA2</f>
        <v>2</v>
      </c>
      <c r="AC2" s="13">
        <f>AB2</f>
        <v>2</v>
      </c>
      <c r="AD2" s="11">
        <v>3</v>
      </c>
      <c r="AE2" s="12">
        <f>AD2</f>
        <v>3</v>
      </c>
      <c r="AF2" s="12">
        <f>AE2</f>
        <v>3</v>
      </c>
      <c r="AG2" s="13">
        <f>AF2</f>
        <v>3</v>
      </c>
      <c r="AH2" s="11">
        <v>4</v>
      </c>
      <c r="AI2" s="12">
        <f>AH2</f>
        <v>4</v>
      </c>
      <c r="AJ2" s="12">
        <f>AI2</f>
        <v>4</v>
      </c>
      <c r="AK2" s="12">
        <f>AJ2</f>
        <v>4</v>
      </c>
      <c r="AL2" s="12">
        <v>1</v>
      </c>
      <c r="AM2" s="12">
        <v>2</v>
      </c>
      <c r="AN2" s="12">
        <v>3</v>
      </c>
      <c r="AO2" s="13">
        <v>4</v>
      </c>
      <c r="AP2" s="2"/>
      <c r="AQ2" s="49" t="s">
        <v>16</v>
      </c>
      <c r="AR2" s="49"/>
      <c r="AS2" s="49"/>
      <c r="AT2" s="49"/>
      <c r="AU2" s="49"/>
      <c r="AV2" s="49"/>
      <c r="AW2" s="49"/>
      <c r="AX2" s="49"/>
      <c r="AY2" s="49"/>
      <c r="AZ2" s="49"/>
      <c r="BA2" s="49"/>
      <c r="BC2" s="48" t="s">
        <v>49</v>
      </c>
      <c r="BD2" s="48"/>
    </row>
    <row r="3" spans="1:56" x14ac:dyDescent="0.2">
      <c r="A3" s="37" t="s">
        <v>51</v>
      </c>
      <c r="B3" s="3" t="s">
        <v>21</v>
      </c>
      <c r="C3" s="3" t="s">
        <v>22</v>
      </c>
      <c r="D3" s="3" t="s">
        <v>25</v>
      </c>
      <c r="E3" s="3" t="s">
        <v>26</v>
      </c>
      <c r="F3" s="3" t="s">
        <v>27</v>
      </c>
      <c r="G3" s="3" t="s">
        <v>28</v>
      </c>
      <c r="H3" s="3" t="s">
        <v>29</v>
      </c>
      <c r="I3" s="3" t="s">
        <v>30</v>
      </c>
      <c r="J3" s="3" t="s">
        <v>33</v>
      </c>
      <c r="K3" s="3" t="s">
        <v>32</v>
      </c>
      <c r="L3" s="3" t="s">
        <v>34</v>
      </c>
      <c r="M3" s="3" t="s">
        <v>35</v>
      </c>
      <c r="N3" s="3" t="s">
        <v>31</v>
      </c>
      <c r="O3" s="3" t="s">
        <v>36</v>
      </c>
      <c r="P3" s="3" t="s">
        <v>37</v>
      </c>
      <c r="Q3" s="3" t="s">
        <v>38</v>
      </c>
      <c r="R3" s="3" t="s">
        <v>39</v>
      </c>
      <c r="S3" s="3" t="s">
        <v>2</v>
      </c>
      <c r="T3" s="3" t="s">
        <v>2</v>
      </c>
      <c r="U3" s="3" t="s">
        <v>39</v>
      </c>
      <c r="V3" s="3" t="s">
        <v>40</v>
      </c>
      <c r="W3" s="3" t="s">
        <v>41</v>
      </c>
      <c r="X3" s="3" t="s">
        <v>36</v>
      </c>
      <c r="Y3" s="3" t="s">
        <v>31</v>
      </c>
      <c r="Z3" s="3" t="s">
        <v>42</v>
      </c>
      <c r="AA3" s="3" t="s">
        <v>43</v>
      </c>
      <c r="AB3" s="3" t="s">
        <v>32</v>
      </c>
      <c r="AC3" s="3" t="s">
        <v>33</v>
      </c>
      <c r="AD3" s="3" t="s">
        <v>44</v>
      </c>
      <c r="AE3" s="3" t="s">
        <v>45</v>
      </c>
      <c r="AF3" s="3" t="s">
        <v>28</v>
      </c>
      <c r="AG3" s="3" t="s">
        <v>27</v>
      </c>
      <c r="AH3" s="3" t="s">
        <v>24</v>
      </c>
      <c r="AI3" s="3" t="s">
        <v>23</v>
      </c>
      <c r="AJ3" s="3" t="s">
        <v>22</v>
      </c>
      <c r="AK3" s="3" t="s">
        <v>21</v>
      </c>
      <c r="AL3" s="3" t="s">
        <v>3</v>
      </c>
      <c r="AM3" s="3" t="s">
        <v>46</v>
      </c>
      <c r="AN3" s="3" t="s">
        <v>47</v>
      </c>
      <c r="AO3" s="3" t="s">
        <v>48</v>
      </c>
      <c r="AP3" s="3"/>
      <c r="AQ3" s="14" t="s">
        <v>8</v>
      </c>
      <c r="AR3" s="15" t="s">
        <v>12</v>
      </c>
      <c r="AS3" s="3"/>
      <c r="AT3" s="14" t="s">
        <v>8</v>
      </c>
      <c r="AU3" s="15" t="s">
        <v>13</v>
      </c>
      <c r="AV3" s="3"/>
      <c r="AW3" s="14" t="s">
        <v>8</v>
      </c>
      <c r="AX3" s="15" t="s">
        <v>14</v>
      </c>
      <c r="AY3" s="3"/>
      <c r="AZ3" s="14" t="s">
        <v>8</v>
      </c>
      <c r="BA3" s="15" t="s">
        <v>15</v>
      </c>
      <c r="BC3" s="31" t="s">
        <v>8</v>
      </c>
      <c r="BD3" s="32" t="s">
        <v>50</v>
      </c>
    </row>
    <row r="4" spans="1:56" x14ac:dyDescent="0.2">
      <c r="A4" s="50">
        <v>0</v>
      </c>
      <c r="B4" s="2">
        <f t="shared" ref="B4:AK4" si="0">((1-B2)*IF+G+IF_BW/2-(B1-B2)*xmin)/B1</f>
        <v>-50225</v>
      </c>
      <c r="C4" s="2">
        <f t="shared" si="0"/>
        <v>-100450</v>
      </c>
      <c r="D4" s="2">
        <f t="shared" si="0"/>
        <v>100450</v>
      </c>
      <c r="E4" s="2">
        <f t="shared" si="0"/>
        <v>50225</v>
      </c>
      <c r="F4" s="2">
        <f t="shared" si="0"/>
        <v>-40225</v>
      </c>
      <c r="G4" s="2">
        <f t="shared" si="0"/>
        <v>-80450</v>
      </c>
      <c r="H4" s="2">
        <f t="shared" si="0"/>
        <v>80450</v>
      </c>
      <c r="I4" s="2">
        <f t="shared" si="0"/>
        <v>40225</v>
      </c>
      <c r="J4" s="2">
        <f t="shared" si="0"/>
        <v>-30225</v>
      </c>
      <c r="K4" s="2">
        <f t="shared" si="0"/>
        <v>-60450</v>
      </c>
      <c r="L4" s="2">
        <f t="shared" si="0"/>
        <v>60450</v>
      </c>
      <c r="M4" s="2">
        <f t="shared" si="0"/>
        <v>30225</v>
      </c>
      <c r="N4" s="2">
        <f t="shared" si="0"/>
        <v>-20225</v>
      </c>
      <c r="O4" s="2">
        <f t="shared" si="0"/>
        <v>-40450</v>
      </c>
      <c r="P4" s="2">
        <f t="shared" si="0"/>
        <v>40450</v>
      </c>
      <c r="Q4" s="2">
        <f t="shared" si="0"/>
        <v>20225</v>
      </c>
      <c r="R4" s="2">
        <f t="shared" si="0"/>
        <v>-10225</v>
      </c>
      <c r="S4" s="2">
        <f t="shared" si="0"/>
        <v>-20450</v>
      </c>
      <c r="T4" s="2">
        <f t="shared" si="0"/>
        <v>20450</v>
      </c>
      <c r="U4" s="2">
        <f t="shared" si="0"/>
        <v>10225</v>
      </c>
      <c r="V4" s="2">
        <f t="shared" si="0"/>
        <v>-225</v>
      </c>
      <c r="W4" s="2">
        <f t="shared" si="0"/>
        <v>-450</v>
      </c>
      <c r="X4" s="2">
        <f t="shared" si="0"/>
        <v>450</v>
      </c>
      <c r="Y4" s="2">
        <f t="shared" si="0"/>
        <v>225</v>
      </c>
      <c r="Z4" s="2">
        <f t="shared" si="0"/>
        <v>9775</v>
      </c>
      <c r="AA4" s="2">
        <f t="shared" si="0"/>
        <v>19550</v>
      </c>
      <c r="AB4" s="2">
        <f t="shared" si="0"/>
        <v>-19550</v>
      </c>
      <c r="AC4" s="2">
        <f t="shared" si="0"/>
        <v>-9775</v>
      </c>
      <c r="AD4" s="2">
        <f t="shared" si="0"/>
        <v>19775</v>
      </c>
      <c r="AE4" s="2">
        <f t="shared" si="0"/>
        <v>39550</v>
      </c>
      <c r="AF4" s="2">
        <f t="shared" si="0"/>
        <v>-39550</v>
      </c>
      <c r="AG4" s="2">
        <f t="shared" si="0"/>
        <v>-19775</v>
      </c>
      <c r="AH4" s="2">
        <f t="shared" si="0"/>
        <v>29775</v>
      </c>
      <c r="AI4" s="2">
        <f t="shared" si="0"/>
        <v>59550</v>
      </c>
      <c r="AJ4" s="2">
        <f t="shared" si="0"/>
        <v>-59550</v>
      </c>
      <c r="AK4" s="2">
        <f t="shared" si="0"/>
        <v>-29775</v>
      </c>
      <c r="AL4" s="2">
        <f>AL2*(IF-xmin)-(IF+(G+IF_BW/2))</f>
        <v>-450</v>
      </c>
      <c r="AM4" s="2">
        <f>AM2*(IF-xmin)-(IF+(G+IF_BW/2))</f>
        <v>19550</v>
      </c>
      <c r="AN4" s="2">
        <f>AN2*(IF-xmin)-(IF+(G+IF_BW/2))</f>
        <v>39550</v>
      </c>
      <c r="AO4" s="2">
        <f>AO2*(IF-xmin)-(IF+(G+IF_BW/2))</f>
        <v>59550</v>
      </c>
      <c r="AQ4" s="16">
        <f>RFmin+IF_BW/2</f>
        <v>2850</v>
      </c>
      <c r="AR4" s="17">
        <f>RF_BW-IF_BW/2</f>
        <v>2150</v>
      </c>
      <c r="AS4" s="2"/>
      <c r="AT4" s="16">
        <f>RFmin+IF_BW/2</f>
        <v>2850</v>
      </c>
      <c r="AU4" s="17">
        <f>-IF_BW/2</f>
        <v>-150</v>
      </c>
      <c r="AV4" s="2"/>
      <c r="AW4" s="16">
        <f>RFmin+IF_BW/2</f>
        <v>2850</v>
      </c>
      <c r="AX4" s="17">
        <f>RF_BW-IF_BW/2</f>
        <v>2150</v>
      </c>
      <c r="AY4" s="2"/>
      <c r="AZ4" s="16">
        <f>RFmax-IF_BW/2</f>
        <v>4850</v>
      </c>
      <c r="BA4" s="17">
        <f>-RF_BW+IF_BW/2</f>
        <v>-2150</v>
      </c>
      <c r="BC4" s="16">
        <f>IF</f>
        <v>20000</v>
      </c>
      <c r="BD4" s="17">
        <v>-32000</v>
      </c>
    </row>
    <row r="5" spans="1:56" x14ac:dyDescent="0.2">
      <c r="A5" s="51">
        <v>32000</v>
      </c>
      <c r="B5" s="2">
        <f t="shared" ref="B5:AK5" si="1">((1-B2)*IF+G+IF_BW/2-(B1-B2)*xmax)/B1</f>
        <v>-18225</v>
      </c>
      <c r="C5" s="2">
        <f t="shared" si="1"/>
        <v>-4450</v>
      </c>
      <c r="D5" s="2">
        <f t="shared" si="1"/>
        <v>-59550</v>
      </c>
      <c r="E5" s="2">
        <f t="shared" si="1"/>
        <v>-45775</v>
      </c>
      <c r="F5" s="2">
        <f t="shared" si="1"/>
        <v>-24225</v>
      </c>
      <c r="G5" s="2">
        <f t="shared" si="1"/>
        <v>-16450</v>
      </c>
      <c r="H5" s="2">
        <f t="shared" si="1"/>
        <v>-47550</v>
      </c>
      <c r="I5" s="2">
        <f t="shared" si="1"/>
        <v>-39775</v>
      </c>
      <c r="J5" s="2">
        <f t="shared" si="1"/>
        <v>-30225</v>
      </c>
      <c r="K5" s="2">
        <f t="shared" si="1"/>
        <v>-28450</v>
      </c>
      <c r="L5" s="2">
        <f t="shared" si="1"/>
        <v>-35550</v>
      </c>
      <c r="M5" s="2">
        <f t="shared" si="1"/>
        <v>-33775</v>
      </c>
      <c r="N5" s="2">
        <f t="shared" si="1"/>
        <v>-36225</v>
      </c>
      <c r="O5" s="2">
        <f t="shared" si="1"/>
        <v>-40450</v>
      </c>
      <c r="P5" s="2">
        <f t="shared" si="1"/>
        <v>-23550</v>
      </c>
      <c r="Q5" s="2">
        <f t="shared" si="1"/>
        <v>-27775</v>
      </c>
      <c r="R5" s="2">
        <f t="shared" si="1"/>
        <v>-42225</v>
      </c>
      <c r="S5" s="2">
        <f t="shared" si="1"/>
        <v>-52450</v>
      </c>
      <c r="T5" s="2">
        <f t="shared" si="1"/>
        <v>-11550</v>
      </c>
      <c r="U5" s="2">
        <f t="shared" si="1"/>
        <v>-21775</v>
      </c>
      <c r="V5" s="2">
        <f t="shared" si="1"/>
        <v>-48225</v>
      </c>
      <c r="W5" s="2">
        <f t="shared" si="1"/>
        <v>-64450</v>
      </c>
      <c r="X5" s="2">
        <f t="shared" si="1"/>
        <v>450</v>
      </c>
      <c r="Y5" s="2">
        <f t="shared" si="1"/>
        <v>-15775</v>
      </c>
      <c r="Z5" s="2">
        <f t="shared" si="1"/>
        <v>-54225</v>
      </c>
      <c r="AA5" s="2">
        <f t="shared" si="1"/>
        <v>-76450</v>
      </c>
      <c r="AB5" s="2">
        <f t="shared" si="1"/>
        <v>12450</v>
      </c>
      <c r="AC5" s="2">
        <f t="shared" si="1"/>
        <v>-9775</v>
      </c>
      <c r="AD5" s="2">
        <f t="shared" si="1"/>
        <v>-60225</v>
      </c>
      <c r="AE5" s="2">
        <f t="shared" si="1"/>
        <v>-88450</v>
      </c>
      <c r="AF5" s="2">
        <f t="shared" si="1"/>
        <v>24450</v>
      </c>
      <c r="AG5" s="2">
        <f t="shared" si="1"/>
        <v>-3775</v>
      </c>
      <c r="AH5" s="2">
        <f t="shared" si="1"/>
        <v>-66225</v>
      </c>
      <c r="AI5" s="2">
        <f t="shared" si="1"/>
        <v>-100450</v>
      </c>
      <c r="AJ5" s="2">
        <f t="shared" si="1"/>
        <v>36450</v>
      </c>
      <c r="AK5" s="2">
        <f t="shared" si="1"/>
        <v>2225</v>
      </c>
      <c r="AL5" s="2">
        <f>AL2*(IF-xmax)-(IF+(G+IF_BW/2))</f>
        <v>-32450</v>
      </c>
      <c r="AM5" s="2">
        <f>AM2*(IF-xmax)-(IF+(G+IF_BW/2))</f>
        <v>-44450</v>
      </c>
      <c r="AN5" s="2">
        <f>AN2*(IF-xmax)-(IF+(G+IF_BW/2))</f>
        <v>-56450</v>
      </c>
      <c r="AO5" s="2">
        <f>AO2*(IF-xmax)-(IF+(G+IF_BW/2))</f>
        <v>-68450</v>
      </c>
      <c r="AQ5" s="11">
        <f>RFmax-IF_BW/2</f>
        <v>4850</v>
      </c>
      <c r="AR5" s="13">
        <f>IF_BW/2</f>
        <v>150</v>
      </c>
      <c r="AS5" s="2"/>
      <c r="AT5" s="11">
        <f>RFmax-IF_BW/2</f>
        <v>4850</v>
      </c>
      <c r="AU5" s="13">
        <f>-RF_BW+IF_BW/2</f>
        <v>-2150</v>
      </c>
      <c r="AV5" s="2"/>
      <c r="AW5" s="11">
        <f>RFmin+IF_BW/2</f>
        <v>2850</v>
      </c>
      <c r="AX5" s="13">
        <f>-IF_BW/2</f>
        <v>-150</v>
      </c>
      <c r="AY5" s="2"/>
      <c r="AZ5" s="11">
        <f>RFmax-IF_BW/2</f>
        <v>4850</v>
      </c>
      <c r="BA5" s="13">
        <f>IF_BW/2</f>
        <v>150</v>
      </c>
      <c r="BC5" s="11">
        <f>IF</f>
        <v>20000</v>
      </c>
      <c r="BD5" s="13">
        <v>32000</v>
      </c>
    </row>
    <row r="6" spans="1:56" x14ac:dyDescent="0.2">
      <c r="A6" s="29">
        <f>xmin</f>
        <v>0</v>
      </c>
      <c r="B6" s="2">
        <f t="shared" ref="B6:AK6" si="2">((1-B2)*IF-G-IF_BW/2-(B1-B2)*xmin)/B1</f>
        <v>-49775</v>
      </c>
      <c r="C6" s="2">
        <f t="shared" si="2"/>
        <v>-99550</v>
      </c>
      <c r="D6" s="2">
        <f t="shared" si="2"/>
        <v>99550</v>
      </c>
      <c r="E6" s="2">
        <f t="shared" si="2"/>
        <v>49775</v>
      </c>
      <c r="F6" s="2">
        <f t="shared" si="2"/>
        <v>-39775</v>
      </c>
      <c r="G6" s="2">
        <f t="shared" si="2"/>
        <v>-79550</v>
      </c>
      <c r="H6" s="2">
        <f t="shared" si="2"/>
        <v>79550</v>
      </c>
      <c r="I6" s="2">
        <f t="shared" si="2"/>
        <v>39775</v>
      </c>
      <c r="J6" s="2">
        <f t="shared" si="2"/>
        <v>-29775</v>
      </c>
      <c r="K6" s="2">
        <f t="shared" si="2"/>
        <v>-59550</v>
      </c>
      <c r="L6" s="2">
        <f t="shared" si="2"/>
        <v>59550</v>
      </c>
      <c r="M6" s="2">
        <f t="shared" si="2"/>
        <v>29775</v>
      </c>
      <c r="N6" s="2">
        <f t="shared" si="2"/>
        <v>-19775</v>
      </c>
      <c r="O6" s="2">
        <f t="shared" si="2"/>
        <v>-39550</v>
      </c>
      <c r="P6" s="2">
        <f t="shared" si="2"/>
        <v>39550</v>
      </c>
      <c r="Q6" s="2">
        <f t="shared" si="2"/>
        <v>19775</v>
      </c>
      <c r="R6" s="2">
        <f t="shared" si="2"/>
        <v>-9775</v>
      </c>
      <c r="S6" s="2">
        <f t="shared" si="2"/>
        <v>-19550</v>
      </c>
      <c r="T6" s="2">
        <f t="shared" si="2"/>
        <v>19550</v>
      </c>
      <c r="U6" s="2">
        <f t="shared" si="2"/>
        <v>9775</v>
      </c>
      <c r="V6" s="2">
        <f t="shared" si="2"/>
        <v>225</v>
      </c>
      <c r="W6" s="2">
        <f t="shared" si="2"/>
        <v>450</v>
      </c>
      <c r="X6" s="2">
        <f t="shared" si="2"/>
        <v>-450</v>
      </c>
      <c r="Y6" s="2">
        <f t="shared" si="2"/>
        <v>-225</v>
      </c>
      <c r="Z6" s="2">
        <f t="shared" si="2"/>
        <v>10225</v>
      </c>
      <c r="AA6" s="2">
        <f t="shared" si="2"/>
        <v>20450</v>
      </c>
      <c r="AB6" s="2">
        <f t="shared" si="2"/>
        <v>-20450</v>
      </c>
      <c r="AC6" s="2">
        <f t="shared" si="2"/>
        <v>-10225</v>
      </c>
      <c r="AD6" s="2">
        <f t="shared" si="2"/>
        <v>20225</v>
      </c>
      <c r="AE6" s="2">
        <f t="shared" si="2"/>
        <v>40450</v>
      </c>
      <c r="AF6" s="2">
        <f t="shared" si="2"/>
        <v>-40450</v>
      </c>
      <c r="AG6" s="2">
        <f t="shared" si="2"/>
        <v>-20225</v>
      </c>
      <c r="AH6" s="2">
        <f t="shared" si="2"/>
        <v>30225</v>
      </c>
      <c r="AI6" s="2">
        <f t="shared" si="2"/>
        <v>60450</v>
      </c>
      <c r="AJ6" s="2">
        <f t="shared" si="2"/>
        <v>-60450</v>
      </c>
      <c r="AK6" s="2">
        <f t="shared" si="2"/>
        <v>-30225</v>
      </c>
      <c r="AL6" s="2">
        <f>AL2*(IF-xmin)-(IF-(G+IF_BW/2))</f>
        <v>450</v>
      </c>
      <c r="AM6" s="2">
        <f>AM2*(IF-xmin)-(IF-(G+IF_BW/2))</f>
        <v>20450</v>
      </c>
      <c r="AN6" s="2">
        <f>AN2*(IF-xmin)-(IF-(G+IF_BW/2))</f>
        <v>40450</v>
      </c>
      <c r="AO6" s="2">
        <f>AO2*(IF-xmin)-(IF-(G+IF_BW/2))</f>
        <v>60450</v>
      </c>
      <c r="AQ6" s="5"/>
      <c r="AR6" s="5"/>
      <c r="AS6" s="2"/>
      <c r="AT6" s="5"/>
      <c r="AU6" s="5"/>
      <c r="AV6" s="2"/>
      <c r="AW6" s="5"/>
      <c r="AX6" s="5"/>
      <c r="AY6" s="2"/>
      <c r="AZ6" s="5"/>
      <c r="BA6" s="5"/>
      <c r="BC6" s="2"/>
      <c r="BD6" s="2"/>
    </row>
    <row r="7" spans="1:56" x14ac:dyDescent="0.2">
      <c r="A7" s="29">
        <f>xmax</f>
        <v>32000</v>
      </c>
      <c r="B7" s="2">
        <f t="shared" ref="B7:AK7" si="3">((1-B2)*IF-G-IF_BW/2-(B1-B2)*xmax)/B1</f>
        <v>-17775</v>
      </c>
      <c r="C7" s="2">
        <f t="shared" si="3"/>
        <v>-3550</v>
      </c>
      <c r="D7" s="2">
        <f t="shared" si="3"/>
        <v>-60450</v>
      </c>
      <c r="E7" s="2">
        <f t="shared" si="3"/>
        <v>-46225</v>
      </c>
      <c r="F7" s="2">
        <f t="shared" si="3"/>
        <v>-23775</v>
      </c>
      <c r="G7" s="2">
        <f t="shared" si="3"/>
        <v>-15550</v>
      </c>
      <c r="H7" s="2">
        <f t="shared" si="3"/>
        <v>-48450</v>
      </c>
      <c r="I7" s="2">
        <f t="shared" si="3"/>
        <v>-40225</v>
      </c>
      <c r="J7" s="2">
        <f t="shared" si="3"/>
        <v>-29775</v>
      </c>
      <c r="K7" s="2">
        <f t="shared" si="3"/>
        <v>-27550</v>
      </c>
      <c r="L7" s="2">
        <f t="shared" si="3"/>
        <v>-36450</v>
      </c>
      <c r="M7" s="2">
        <f t="shared" si="3"/>
        <v>-34225</v>
      </c>
      <c r="N7" s="2">
        <f t="shared" si="3"/>
        <v>-35775</v>
      </c>
      <c r="O7" s="2">
        <f t="shared" si="3"/>
        <v>-39550</v>
      </c>
      <c r="P7" s="2">
        <f t="shared" si="3"/>
        <v>-24450</v>
      </c>
      <c r="Q7" s="2">
        <f t="shared" si="3"/>
        <v>-28225</v>
      </c>
      <c r="R7" s="2">
        <f t="shared" si="3"/>
        <v>-41775</v>
      </c>
      <c r="S7" s="2">
        <f t="shared" si="3"/>
        <v>-51550</v>
      </c>
      <c r="T7" s="2">
        <f t="shared" si="3"/>
        <v>-12450</v>
      </c>
      <c r="U7" s="2">
        <f t="shared" si="3"/>
        <v>-22225</v>
      </c>
      <c r="V7" s="2">
        <f t="shared" si="3"/>
        <v>-47775</v>
      </c>
      <c r="W7" s="2">
        <f t="shared" si="3"/>
        <v>-63550</v>
      </c>
      <c r="X7" s="2">
        <f t="shared" si="3"/>
        <v>-450</v>
      </c>
      <c r="Y7" s="2">
        <f t="shared" si="3"/>
        <v>-16225</v>
      </c>
      <c r="Z7" s="2">
        <f t="shared" si="3"/>
        <v>-53775</v>
      </c>
      <c r="AA7" s="2">
        <f t="shared" si="3"/>
        <v>-75550</v>
      </c>
      <c r="AB7" s="2">
        <f t="shared" si="3"/>
        <v>11550</v>
      </c>
      <c r="AC7" s="2">
        <f t="shared" si="3"/>
        <v>-10225</v>
      </c>
      <c r="AD7" s="2">
        <f t="shared" si="3"/>
        <v>-59775</v>
      </c>
      <c r="AE7" s="2">
        <f t="shared" si="3"/>
        <v>-87550</v>
      </c>
      <c r="AF7" s="2">
        <f t="shared" si="3"/>
        <v>23550</v>
      </c>
      <c r="AG7" s="2">
        <f t="shared" si="3"/>
        <v>-4225</v>
      </c>
      <c r="AH7" s="2">
        <f t="shared" si="3"/>
        <v>-65775</v>
      </c>
      <c r="AI7" s="2">
        <f t="shared" si="3"/>
        <v>-99550</v>
      </c>
      <c r="AJ7" s="2">
        <f t="shared" si="3"/>
        <v>35550</v>
      </c>
      <c r="AK7" s="2">
        <f t="shared" si="3"/>
        <v>1775</v>
      </c>
      <c r="AL7" s="2">
        <f>AL2*(IF-xmax)-(IF-(G+IF_BW/2))</f>
        <v>-31550</v>
      </c>
      <c r="AM7" s="2">
        <f>AM2*(IF-xmax)-(IF-(G+IF_BW/2))</f>
        <v>-43550</v>
      </c>
      <c r="AN7" s="2">
        <f>AN2*(IF-xmax)-(IF-(G+IF_BW/2))</f>
        <v>-55550</v>
      </c>
      <c r="AO7" s="2">
        <f>AO2*(IF-xmax)-(IF-(G+IF_BW/2))</f>
        <v>-67550</v>
      </c>
      <c r="AQ7" s="5"/>
      <c r="AR7" s="5"/>
      <c r="AS7" s="2"/>
      <c r="AT7" s="5"/>
      <c r="AU7" s="5"/>
      <c r="AV7" s="2"/>
      <c r="AW7" s="5"/>
      <c r="AX7" s="5"/>
      <c r="AY7" s="2"/>
      <c r="AZ7" s="5"/>
      <c r="BA7" s="5"/>
      <c r="BC7" s="2"/>
      <c r="BD7" s="2"/>
    </row>
    <row r="9" spans="1:56" x14ac:dyDescent="0.2">
      <c r="G9" s="20" t="s">
        <v>1</v>
      </c>
      <c r="H9" s="28">
        <v>300</v>
      </c>
      <c r="I9" s="21" t="s">
        <v>0</v>
      </c>
    </row>
    <row r="10" spans="1:56" x14ac:dyDescent="0.2">
      <c r="B10" s="25" t="s">
        <v>9</v>
      </c>
      <c r="C10" s="26">
        <v>20000</v>
      </c>
      <c r="D10" s="27" t="s">
        <v>0</v>
      </c>
      <c r="E10" s="3" t="s">
        <v>54</v>
      </c>
      <c r="G10" s="22" t="s">
        <v>7</v>
      </c>
      <c r="H10" s="23">
        <v>300</v>
      </c>
      <c r="I10" s="24" t="s">
        <v>0</v>
      </c>
      <c r="L10" s="40" t="s">
        <v>4</v>
      </c>
      <c r="M10" s="41">
        <f>RFmax-RFmin</f>
        <v>2300</v>
      </c>
      <c r="N10" s="29" t="s">
        <v>0</v>
      </c>
    </row>
    <row r="12" spans="1:56" x14ac:dyDescent="0.2">
      <c r="O12" s="7"/>
    </row>
    <row r="13" spans="1:56" x14ac:dyDescent="0.2">
      <c r="O13" s="7"/>
      <c r="AL13" s="38" t="s">
        <v>52</v>
      </c>
      <c r="AO13" s="38" t="s">
        <v>52</v>
      </c>
    </row>
    <row r="14" spans="1:56" x14ac:dyDescent="0.2">
      <c r="O14" s="7"/>
    </row>
    <row r="15" spans="1:56" x14ac:dyDescent="0.2">
      <c r="AM15" s="38" t="s">
        <v>52</v>
      </c>
    </row>
    <row r="17" spans="16:20" x14ac:dyDescent="0.2">
      <c r="P17" s="2"/>
      <c r="Q17" s="2"/>
      <c r="R17" s="2"/>
      <c r="S17" s="2"/>
      <c r="T17" s="2"/>
    </row>
    <row r="22" spans="16:20" x14ac:dyDescent="0.2">
      <c r="P22" s="2"/>
      <c r="Q22" s="2"/>
      <c r="R22" s="2"/>
      <c r="S22" s="2"/>
      <c r="T22" s="39"/>
    </row>
    <row r="31" spans="16:20" x14ac:dyDescent="0.2">
      <c r="P31" t="s">
        <v>52</v>
      </c>
    </row>
    <row r="37" spans="2:14" x14ac:dyDescent="0.2">
      <c r="B37" s="18"/>
      <c r="C37" s="6"/>
      <c r="D37" s="19"/>
      <c r="E37" s="6"/>
    </row>
    <row r="38" spans="2:14" x14ac:dyDescent="0.2">
      <c r="C38" s="20" t="s">
        <v>11</v>
      </c>
      <c r="D38" s="28">
        <v>2700</v>
      </c>
      <c r="E38" s="21" t="s">
        <v>0</v>
      </c>
      <c r="H38" s="40" t="s">
        <v>19</v>
      </c>
      <c r="I38" s="41">
        <f>IF-IF_BW/2</f>
        <v>19850</v>
      </c>
      <c r="J38" s="29" t="s">
        <v>0</v>
      </c>
      <c r="L38" s="40" t="s">
        <v>17</v>
      </c>
      <c r="M38" s="41">
        <f>IF - (RFmax-IF_BW/2)</f>
        <v>15150</v>
      </c>
      <c r="N38" s="29" t="s">
        <v>0</v>
      </c>
    </row>
    <row r="39" spans="2:14" x14ac:dyDescent="0.2">
      <c r="C39" s="22" t="s">
        <v>10</v>
      </c>
      <c r="D39" s="23">
        <v>5000</v>
      </c>
      <c r="E39" s="24" t="s">
        <v>0</v>
      </c>
      <c r="H39" s="40" t="s">
        <v>20</v>
      </c>
      <c r="I39" s="41">
        <f>IF+IF_BW/2</f>
        <v>20150</v>
      </c>
      <c r="J39" s="29" t="s">
        <v>0</v>
      </c>
      <c r="L39" s="40" t="s">
        <v>18</v>
      </c>
      <c r="M39" s="41">
        <f>IF - (RFmin+IF_BW/2)</f>
        <v>17150</v>
      </c>
      <c r="N39" s="29" t="s">
        <v>0</v>
      </c>
    </row>
    <row r="41" spans="2:14" x14ac:dyDescent="0.2">
      <c r="C41" s="34"/>
      <c r="D41" s="34"/>
      <c r="E41" s="33"/>
      <c r="F41" s="34"/>
      <c r="G41" s="34"/>
    </row>
    <row r="42" spans="2:14" x14ac:dyDescent="0.2">
      <c r="C42" s="7"/>
      <c r="D42" s="35"/>
      <c r="E42" s="33"/>
      <c r="F42" s="34"/>
      <c r="G42" s="34"/>
    </row>
    <row r="43" spans="2:14" x14ac:dyDescent="0.2">
      <c r="C43" s="34"/>
      <c r="D43" s="34"/>
      <c r="E43" s="34"/>
      <c r="F43" s="34"/>
      <c r="G43" s="7"/>
      <c r="H43" s="30"/>
    </row>
    <row r="44" spans="2:14" x14ac:dyDescent="0.2">
      <c r="C44" s="34"/>
      <c r="D44" s="34"/>
      <c r="E44" s="34"/>
      <c r="F44" s="36"/>
      <c r="G44" s="34"/>
    </row>
    <row r="45" spans="2:14" x14ac:dyDescent="0.2">
      <c r="C45" s="34"/>
      <c r="D45" s="34"/>
      <c r="E45" s="34"/>
      <c r="F45" s="36"/>
      <c r="G45" s="34"/>
    </row>
    <row r="46" spans="2:14" x14ac:dyDescent="0.2">
      <c r="C46" s="34"/>
      <c r="D46" s="34"/>
      <c r="E46" s="34"/>
      <c r="F46" s="34"/>
      <c r="G46" s="34"/>
    </row>
    <row r="47" spans="2:14" x14ac:dyDescent="0.2">
      <c r="C47" s="34"/>
      <c r="D47" s="34"/>
      <c r="E47" s="34"/>
      <c r="F47" s="34"/>
      <c r="G47" s="34"/>
    </row>
  </sheetData>
  <mergeCells count="2">
    <mergeCell ref="AQ2:BA2"/>
    <mergeCell ref="BC2:BD2"/>
  </mergeCells>
  <conditionalFormatting sqref="C10">
    <cfRule type="expression" dxfId="1" priority="2">
      <formula>$M$38&lt;0</formula>
    </cfRule>
  </conditionalFormatting>
  <conditionalFormatting sqref="E10">
    <cfRule type="expression" dxfId="0" priority="1">
      <formula>$M$38&lt;0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How to use me</vt:lpstr>
      <vt:lpstr>IF = LO - RF</vt:lpstr>
      <vt:lpstr>IF =  RF - LO</vt:lpstr>
      <vt:lpstr>IF =  RF + LO</vt:lpstr>
      <vt:lpstr>'IF =  RF - LO'!G</vt:lpstr>
      <vt:lpstr>'IF =  RF + LO'!G</vt:lpstr>
      <vt:lpstr>'IF = LO - RF'!G</vt:lpstr>
      <vt:lpstr>'IF =  RF - LO'!IF</vt:lpstr>
      <vt:lpstr>'IF =  RF + LO'!IF</vt:lpstr>
      <vt:lpstr>'IF = LO - RF'!IF</vt:lpstr>
      <vt:lpstr>'IF =  RF - LO'!IF_BW</vt:lpstr>
      <vt:lpstr>'IF =  RF + LO'!IF_BW</vt:lpstr>
      <vt:lpstr>'IF = LO - RF'!IF_BW</vt:lpstr>
      <vt:lpstr>'IF =  RF - LO'!RF_BW</vt:lpstr>
      <vt:lpstr>'IF =  RF + LO'!RF_BW</vt:lpstr>
      <vt:lpstr>'IF = LO - RF'!RF_BW</vt:lpstr>
      <vt:lpstr>'How to use me'!RFmax</vt:lpstr>
      <vt:lpstr>'IF =  RF - LO'!RFmax</vt:lpstr>
      <vt:lpstr>'IF =  RF + LO'!RFmax</vt:lpstr>
      <vt:lpstr>'IF = LO - RF'!RFmax</vt:lpstr>
      <vt:lpstr>'How to use me'!RFmin</vt:lpstr>
      <vt:lpstr>'IF =  RF - LO'!RFmin</vt:lpstr>
      <vt:lpstr>'IF =  RF + LO'!RFmin</vt:lpstr>
      <vt:lpstr>'IF = LO - RF'!RFmin</vt:lpstr>
      <vt:lpstr>'IF =  RF - LO'!xmax</vt:lpstr>
      <vt:lpstr>'IF =  RF + LO'!xmax</vt:lpstr>
      <vt:lpstr>'IF = LO - RF'!xmax</vt:lpstr>
      <vt:lpstr>'IF =  RF - LO'!xmin</vt:lpstr>
      <vt:lpstr>'IF =  RF + LO'!xmin</vt:lpstr>
      <vt:lpstr>'IF = LO - RF'!xmin</vt:lpstr>
    </vt:vector>
  </TitlesOfParts>
  <Company>CETECOM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jlfm</dc:creator>
  <cp:lastModifiedBy>Jose Luis Flores</cp:lastModifiedBy>
  <cp:lastPrinted>2010-03-11T11:50:13Z</cp:lastPrinted>
  <dcterms:created xsi:type="dcterms:W3CDTF">2007-03-06T10:34:12Z</dcterms:created>
  <dcterms:modified xsi:type="dcterms:W3CDTF">2015-08-12T07:55:17Z</dcterms:modified>
</cp:coreProperties>
</file>